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atpdevgroup.sharepoint.com/teams/Italia-AutolineeToscane-BorgoSLorenzo/Documenti condivisi/AT_Grande/SVILUPPO/Gite_Scolastiche/Terranuova/"/>
    </mc:Choice>
  </mc:AlternateContent>
  <xr:revisionPtr revIDLastSave="0" documentId="8_{2B391D06-0A70-4A5E-9E19-49D90A29DB29}" xr6:coauthVersionLast="47" xr6:coauthVersionMax="47" xr10:uidLastSave="{00000000-0000-0000-0000-000000000000}"/>
  <bookViews>
    <workbookView xWindow="28680" yWindow="-2055" windowWidth="29040" windowHeight="17520" firstSheet="1" activeTab="5" xr2:uid="{25750792-B79A-4617-A4A3-41AC58B4C78F}"/>
  </bookViews>
  <sheets>
    <sheet name="Output ART --&gt;" sheetId="1" r:id="rId1"/>
    <sheet name="Sch.1_CE Reg" sheetId="2" r:id="rId2"/>
    <sheet name="Sch.2_SP Reg" sheetId="3" r:id="rId3"/>
    <sheet name="Sch. 3_Determ. Compensazione" sheetId="4" r:id="rId4"/>
    <sheet name="Output AT --&gt;" sheetId="5" r:id="rId5"/>
    <sheet name="EBIT &amp; Costi interni AT" sheetId="6" r:id="rId6"/>
    <sheet name="Ipotesi --&gt;" sheetId="7" r:id="rId7"/>
    <sheet name="Beni  trasferiti-funzionali" sheetId="8" r:id="rId8"/>
  </sheets>
  <definedNames>
    <definedName name="____xlnm.Recorder">#N/A</definedName>
    <definedName name="___xlnm.Recorder">#N/A</definedName>
    <definedName name="__bookmark_1">#REF!,#REF!,#REF!,#REF!</definedName>
    <definedName name="__bookmark_2">#REF!</definedName>
    <definedName name="__xlnm.Recorder">#N/A</definedName>
    <definedName name="_1_">#REF!</definedName>
    <definedName name="_2Excel_BuiltIn_Print_Area_10_1_1">#REF!</definedName>
    <definedName name="_3Excel_BuiltIn_Print_Area_12_1_1">#REF!</definedName>
    <definedName name="_4Excel_BuiltIn_Print_Area_14_1_1">#REF!</definedName>
    <definedName name="_5Excel_BuiltIn_Print_Area_16_1_1">#REF!</definedName>
    <definedName name="_6Excel_BuiltIn_Print_Area_17_1_1">#REF!</definedName>
    <definedName name="_7Excel_BuiltIn_Print_Area_20_1_1">#REF!</definedName>
    <definedName name="_8Excel_BuiltIn_Print_Area_6_1_1">#REF!</definedName>
    <definedName name="_9Excel_BuiltIn_Print_Area_8_1_1">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12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xlcn.WorksheetConnection_BaseperconsuntivoalmeseA1AP3811" hidden="1">#REF!</definedName>
    <definedName name="a">#REF!</definedName>
    <definedName name="aaa">#REF!</definedName>
    <definedName name="AC770PK">#REF!</definedName>
    <definedName name="adeguamento_modalità_dell_offerta_alla_domanda_">#REF!</definedName>
    <definedName name="AF099PX">#REF!</definedName>
    <definedName name="AF100PX">#REF!</definedName>
    <definedName name="AleaLCPinfra">#REF!</definedName>
    <definedName name="Altri_costi">#REF!</definedName>
    <definedName name="Altri_ricavi">#REF!</definedName>
    <definedName name="Anni_prestito">#REF!</definedName>
    <definedName name="AP660HB">#REF!</definedName>
    <definedName name="_xlnm.Print_Area" localSheetId="5">'EBIT &amp; Costi interni AT'!#REF!</definedName>
    <definedName name="ATELIER">#REF!</definedName>
    <definedName name="AY387FJ">#REF!</definedName>
    <definedName name="AY465HD">#REF!</definedName>
    <definedName name="b">#REF!</definedName>
    <definedName name="base2">#REF!</definedName>
    <definedName name="basebalance">#REF!</definedName>
    <definedName name="BasePriceLevel">#REF!</definedName>
    <definedName name="Beg_Bal">#REF!</definedName>
    <definedName name="BN646FS">#REF!</definedName>
    <definedName name="BN823FM">#REF!</definedName>
    <definedName name="bus">#REF!</definedName>
    <definedName name="Canone_al_gestore">#REF!</definedName>
    <definedName name="Cap">#REF!</definedName>
    <definedName name="CAPEXinmodelN">#REF!</definedName>
    <definedName name="CAPITALE_CIRCOLANTE_NETTO_DI_GESTIONE">#REF!</definedName>
    <definedName name="CAPITALE_CIRCOLANTE_NETTO_semestrale_periodo_di_disponibilità_dei_finanziamenti">#REF!</definedName>
    <definedName name="ccc">#REF!</definedName>
    <definedName name="check">#REF!</definedName>
    <definedName name="Check_1">#REF!</definedName>
    <definedName name="check_CICLO_MACRO_I">#REF!</definedName>
    <definedName name="check_CICLO_MACRO_II">#REF!</definedName>
    <definedName name="check_CICLO_MACRO_III">#REF!</definedName>
    <definedName name="check_ciclo_macro_IV">#REF!</definedName>
    <definedName name="check_CICLO_MACRO_V">#REF!</definedName>
    <definedName name="check_CICLO_MACRO_VI">#REF!</definedName>
    <definedName name="CHECK_DSRA">#REF!</definedName>
    <definedName name="Check_Erogazioni_WC">#REF!</definedName>
    <definedName name="check_globale">#REF!</definedName>
    <definedName name="Check_globale_no_profilo_ottimizzato">#REF!</definedName>
    <definedName name="Check_Macros">#REF!</definedName>
    <definedName name="Check_nozionale_mensile">#REF!</definedName>
    <definedName name="Check_nozionale_semestrale">#REF!</definedName>
    <definedName name="Check_nozionali">#REF!</definedName>
    <definedName name="Check_per_Sensitivity_Ciclo_II">#REF!</definedName>
    <definedName name="Check_Percentuale_Base_e_Stand_by">#REF!</definedName>
    <definedName name="Check_percentuale_base_stand_by">#REF!</definedName>
    <definedName name="check_profilo">#REF!</definedName>
    <definedName name="Check_Rimborsi_WC">#REF!</definedName>
    <definedName name="Check_Scarto_Comm_Fees_WC">#REF!</definedName>
    <definedName name="Check_Scarto_Commitment_Base">#REF!</definedName>
    <definedName name="Check_Scarto_DSRA">#REF!</definedName>
    <definedName name="Check_Scarto_Imp_sost_WC">#REF!</definedName>
    <definedName name="Check_Scarto_Imposte">#REF!</definedName>
    <definedName name="Check_Scarto_Int_WC">#REF!</definedName>
    <definedName name="Check_Scarto_On.Fin.">#REF!</definedName>
    <definedName name="CIQWBGuid" hidden="1">"db758bca-9439-4429-b28d-33b1dcf7c617"</definedName>
    <definedName name="circolazione_perturbata">#REF!</definedName>
    <definedName name="CMPC_IT">#REF!</definedName>
    <definedName name="comprovate_esigenze_di_funzionalità">#REF!</definedName>
    <definedName name="COMPTABLE">#REF!</definedName>
    <definedName name="Concession_duration">#REF!</definedName>
    <definedName name="cons">#REF!</definedName>
    <definedName name="Constr_cost">#REF!</definedName>
    <definedName name="Constr_period">#REF!</definedName>
    <definedName name="Conto_controllato">#REF!</definedName>
    <definedName name="Copia_Comm_Fees_WC">#REF!</definedName>
    <definedName name="Copia_commitment_Base">#REF!</definedName>
    <definedName name="Copia_Int_WC">#REF!</definedName>
    <definedName name="Copia_Interessi_WC">#REF!</definedName>
    <definedName name="Copia_Oneri_Finanziari">#REF!</definedName>
    <definedName name="Copia_profilo">#REF!</definedName>
    <definedName name="CPI_differential">#REF!</definedName>
    <definedName name="crem">#REF!</definedName>
    <definedName name="CurrencyList">#REF!</definedName>
    <definedName name="CY146NP">#REF!</definedName>
    <definedName name="Data_pagam">#REF!</definedName>
    <definedName name="Data_pagamento">DATE(YEAR(Inizio_prestito),MONTH(Inizio_prestito)+Payment_Number,DAY(Inizio_prestito))</definedName>
    <definedName name="DataInizioPrestito">#REF!</definedName>
    <definedName name="Dati">#REF!</definedName>
    <definedName name="depenses">#REF!</definedName>
    <definedName name="DeptList">#REF!</definedName>
    <definedName name="Description">#REF!</definedName>
    <definedName name="Différé">#REF!</definedName>
    <definedName name="disposizione_AA.PP._per_ordine__sicurezza__salute_pubblica">#REF!</definedName>
    <definedName name="Dividends">#REF!</definedName>
    <definedName name="DividendsN">#REF!</definedName>
    <definedName name="DividendsProfileList">#REF!</definedName>
    <definedName name="DK412CS">#REF!</definedName>
    <definedName name="DSCR">#REF!</definedName>
    <definedName name="DSRA_Copia">#REF!</definedName>
    <definedName name="DSRA_Incolla">#REF!</definedName>
    <definedName name="DurataPrestito">#REF!</definedName>
    <definedName name="eeeeeee">#REF!</definedName>
    <definedName name="eeeeeeeeee">#REF!</definedName>
    <definedName name="EG423BD">#REF!</definedName>
    <definedName name="End_Bal">#REF!</definedName>
    <definedName name="Energy_calculated">#REF!</definedName>
    <definedName name="ENQUETEURS">#REF!</definedName>
    <definedName name="EPMWorkbookOptions_1" hidden="1">"dAEAAB+LCAAAAAAABACFkD1vwkAMhvdK/IfT7eSSInVASRjoUqkoCKS2q0mc5ETwRT7D8fN7ol8Chq6Pn9eW33xxPgzqhOyto0JnSaoVUu0aS12hj9JOsye9KCcP+bvj/c65fTVKVL2KOfLzs7eF7kXGuTEhhCTMEsedeUzTzHysXrd1jweYWvICVKP+TTX/p3S8qlS+wZbR9xVVI1IpfMTcXLOLthwQ+BkEKtrCCb/FW3pRfz5ZsxOsBZuy"</definedName>
    <definedName name="EPMWorkbookOptions_10" hidden="1">"pCDN9SPVFTS7VatB1fWsrK6+vuJ679TL/f8/Kq5nz7/8rlVbp/+fZ89vhhCnL36OFiy+OUL8v0lOzyhXW0+rH6Kofvr/R1E9e/Hm9NXJl4ZJz37/F1++OP3/usD+v4lPX09pcn+IXPrg/49c+vrky5enhkc//xGPfqM8+jy/yMrj6bRaL9sfIqMe/P+PUZ+ffn78nFaevvzqhV15un/y/3lW/SbJ8eb1y/+vk+P/PZL7xefHTfZDFNmH//8T"</definedName>
    <definedName name="EPMWorkbookOptions_11" hidden="1">"WSLh62O78vb6+Pd/8+WbHzGo3+xWrQYZ9EmdLWc/RBbd3fn/I48+eXVM0aPJWL968SMu/Wa59CRbZuUP00vf3f3/I5ueHL84fm79dPrrR3z6zfLpyyxvfqhsuvf/RzZ9eXz62nLpi+Of+v8Dl36D1Hj26vhH1LDUePXV/+eX3f7fo8He0Gc/TPV17/9/6uvN2ReWP/d2dj8dPz09+f86g35DtNgZkyI//v/8ctP/e8T1i9Pj11+9On39wxTZ"</definedName>
    <definedName name="EPMWorkbookOptions_12" hidden="1">"/f//iawhI3Ep/e/3efOjdcD3ahRgE2/0+O7xalUW06wlOPbz4FPTnKBVyyUhTp89zdqMP/Y/fFN1B//4VX5e5838y+WXq3x5BMo9vht+xs1OyjyrAfPL5evsMj86z0p4692Pue13q/rtpKreEle2TEXTuv9F2P5qppP2+Kz5yawuskmZf5HXFw5C7/PfOHFgv1wJMf4fhk2xqhVeAAA="</definedName>
    <definedName name="EPMWorkbookOptions_2" hidden="1">"hcFH+35w7YdGmS/04t+ALewGXCF3fxvueCzO3DRXfgIySl7xdAEAAA=="</definedName>
    <definedName name="EPMWorkbookOptions_3" hidden="1">"Os4jQaHTs5DHUSy9O/jVt4vZLF8+LRb5smE8h5s6HJugDbV6Pa+uLIyTqqzqo7Ze54/vRr7Y9CqPIvJmb3T6Io29zd+1z7LLqi5awosnQl7ufdd5/9vFxbyk/7ev85LYKJ99u8jrrJ7OCwdnY5tb4POsqJvWG1D8+w4gO+phgt+2ld/uq2Xxi9Y5U/Ika/OLqr5+fDf27SYgMoWkGe7v7N472PUAxCaX3/2ynuX10c7ju/JLFHqzKrPrl3W1"</definedName>
    <definedName name="EPMWorkbookOptions_4" hidden="1">"yuv2+mj3/qf3z/PJ+fb9T2f72/t75w+3D+7n+fZOlu/tzyYP9h9M7qHn8K0I4OdZY2fui3wxIV0XaRZyebQBNZH3PTJ97+T4zennX776fb4//t63d+mf45M3Xx0/Jy3QazoA0jDTtWuaklZ9tCzKzz4C03zUkUbv3cjE3e7dx3c3D/bx3dtQzZv4nz0uZTynH8ClOzv7Bzs7t2fS3f8fMulXr16dvjixTPr85EcM6je7VasBBn16cryeFW1b"</definedName>
    <definedName name="EPMWorkbookOptions_5" hidden="1">"Z0X5tZn03r379/f392/PpHv//2NSIuRXT8/evHl1fPbcatPnz39//vTs6Y841m92q1aDHHu6bIv266vUTx/s7hwcPLg9t977/yO3nr54c/bGqtSdnb3f/8vnp/9f59Jvjhz3f/+nX/1ePyKHIcfu7//y+PWPyOHUun7y/3GK/L9Jqz8rq6uvrdPJTf7003v33sNP3v//o1J/9vzL7xouPX3xI6cjaHarVoPseUZZj3pafX0Ofe90w/3/P3Lo"</definedName>
    <definedName name="EPMWorkbookOptions_6" hidden="1">"2Ys3p69OvjRMevb7v/jyxf/n3Y7/N/Hp6ylN7g+RSz/9/yOXvj758uWp4dHPf8Sj3yiPPs8vsvJ4Oq3Wy/aHyKgP/v/HqM9PPz9+fnxy8uVXL96AW/f4n7OT3//k9Pd/+fyrz+nn/9fZ9meRNL8/yfirH9FH6ANF9+b1yx+RY5hdnp29+P86ef7fYwTe0GcfrvxvrfwP/v+n/N+cfWFdlL2d3Yfjp6f/n18X+YZosf8jWlhaPBi/+fLN//eX"</definedName>
    <definedName name="EPMWorkbookOptions_7" hidden="1">"dL8hauz8/4Ma/+/R41+cHr/+6tXp6x+iLn/4/z9dbqhITEr/+33e/Chz916NAmzijR7fPV6tymKatQTHfh58apoTtGq5JMTps6dZm5mPo5/S50K1RblsPvto3rarR3fvtvlita6LcVVf3P2qyWuH0/hdM/vo6Pd/9vKL3//Jy5MvXu/u/P7f05dIOe2O8c/Bw0d3m2x1d7Ka3v3+7/+918cvf/+zZ69e069ffE5INPTLeVY2uf35+G7AII/9"</definedName>
    <definedName name="EPMWorkbookOptions_8" hidden="1">"Qb0nZh7FYgSzAz4SVDo9C53cXHS4x//q28Vsli/t1DYbmm7gjdfz6qqjN8C2j+9Gvtj0Ko8i8mZE8PhFGnubv2ufZZdVXbSEF0+EvNz7rvP+t4uLeUn/t+JhJLhwcDa2uQU+z4q6ab0Bxb/vALpRzm7fasBaUIT19PT1mx+isdj5/5+xUCIar+bk939CSuTl7/P7Pz/7yXs/sht+s1u1GmDVk6zNL6r6+uvz6s7O/sHOzu1Zdff/f6x6cvzm"</definedName>
    <definedName name="EPMWorkbookOptions_9" hidden="1">"9PMvX7mV85M3X/3I+w6b3arVEJMyntOvz6T37t2/v7+/f3sm3fv/IZN+9erV6YsTy6SnX/28zQp3SfH8//NZlP/3yOrTk+P1rGjbOivKry2vnz7Y3Tk4eHB7eb33/z95JUJ+9fTszZtXx2fPDaM+OX7++598+eL1l/9f59dvmijPvzz5kcENm92q1aAQny7bov36Bpe8wk8/vXfvPdzC/f8/SvDpizdnb6yZeXn8+v/rLPpNkeLpV7/Xj0ih"</definedName>
    <definedName name="Equity_rate">#REF!</definedName>
    <definedName name="Erogazioni_WC_COPIA">#REF!</definedName>
    <definedName name="Erogazioni_WC_INCOLLA">#REF!</definedName>
    <definedName name="Esterna">#REF!</definedName>
    <definedName name="ETUDES">#REF!</definedName>
    <definedName name="EUR">#REF!</definedName>
    <definedName name="EURThousands">#REF!</definedName>
    <definedName name="EURUSD">#REF!</definedName>
    <definedName name="EV__LASTREFTIME__" hidden="1">38153.4862962963</definedName>
    <definedName name="eventi_straordinari_e_imprevedibili__o_urgenti">#REF!</definedName>
    <definedName name="Excel_BuiltIn__FilterDatabase_10">#REF!</definedName>
    <definedName name="Excel_BuiltIn__FilterDatabase_3">#REF!</definedName>
    <definedName name="Excel_BuiltIn__FilterDatabase_4">#REF!</definedName>
    <definedName name="Excel_BuiltIn__FilterDatabase_5">#REF!</definedName>
    <definedName name="Excel_BuiltIn__FilterDatabase_6">#REF!</definedName>
    <definedName name="Excel_BuiltIn__FilterDatabase_7">#REF!</definedName>
    <definedName name="Excel_BuiltIn__FilterDatabase_9">#REF!</definedName>
    <definedName name="Excel_BuiltIn_Print_Area_11_1">#REF!</definedName>
    <definedName name="Excel_BuiltIn_Print_Area_11_1_11">#REF!</definedName>
    <definedName name="Excel_BuiltIn_Print_Area_12_1">#REF!</definedName>
    <definedName name="Excel_BuiltIn_Print_Area_12_1_13">#REF!</definedName>
    <definedName name="Excel_BuiltIn_Print_Area_13_1">#REF!</definedName>
    <definedName name="Excel_BuiltIn_Print_Area_15_1">#REF!</definedName>
    <definedName name="Excel_BuiltIn_Print_Area_17_1">#REF!</definedName>
    <definedName name="Excel_BuiltIn_Print_Area_18_1">#REF!</definedName>
    <definedName name="Excel_BuiltIn_Print_Area_21_1">#REF!</definedName>
    <definedName name="Excel_BuiltIn_Print_Area_23_1">#REF!</definedName>
    <definedName name="Excel_BuiltIn_Print_Area_3_1">#REF!</definedName>
    <definedName name="Excel_BuiltIn_Print_Area_5_1">#REF!</definedName>
    <definedName name="Excel_BuiltIn_Print_Area_7_1">#REF!</definedName>
    <definedName name="Excel_BuiltIn_Print_Area_9_1">#REF!</definedName>
    <definedName name="Extra_Pay">#REF!</definedName>
    <definedName name="Fabbisogno_finanziario_IVA">#REF!</definedName>
    <definedName name="FI_M31791">#REF!</definedName>
    <definedName name="FI_N04310">#REF!</definedName>
    <definedName name="File_name">#REF!</definedName>
    <definedName name="Filtro_taglio">#REF!</definedName>
    <definedName name="Flag">#REF!</definedName>
    <definedName name="Flag_M">#REF!</definedName>
    <definedName name="flag_sensitivity">#REF!</definedName>
    <definedName name="Flussi_di_cassa_gestione_operativa_generati_nel_periodo_di_disponibilità_dei_finanziamenti">#REF!</definedName>
    <definedName name="Fonti_di_finanziamento">#REF!</definedName>
    <definedName name="FONTI_di_FINANZIAMENTO_FINANZIARIO">#REF!</definedName>
    <definedName name="forza_maggiore_e_calamità_naturali">#REF!</definedName>
    <definedName name="Full_path">#REF!</definedName>
    <definedName name="Grace_period">#REF!</definedName>
    <definedName name="guasto_del_mezzo">#REF!</definedName>
    <definedName name="Header_Row">ROW(#REF!)</definedName>
    <definedName name="IMPIEGHI_a_Cash_Flow">#REF!</definedName>
    <definedName name="Importo_prestito">#REF!</definedName>
    <definedName name="ImportoPrestito">#REF!</definedName>
    <definedName name="Imposta_sostitutiva_WC_copia">#REF!</definedName>
    <definedName name="Imposta_sostitutiva_WC_incolla">#REF!</definedName>
    <definedName name="Imposte_Copia">#REF!</definedName>
    <definedName name="Imposte_Incolla">#REF!</definedName>
    <definedName name="IMPOSTE_semestrali">#REF!</definedName>
    <definedName name="ImposteOK">#REF!</definedName>
    <definedName name="Incolla_Comm_Fees_WC">#REF!</definedName>
    <definedName name="Incolla_Commitment_Base">#REF!</definedName>
    <definedName name="Incolla_Interessi_WC">#REF!</definedName>
    <definedName name="Incolla_Oneri_Finanziari">#REF!</definedName>
    <definedName name="Incolla_profilo">#REF!</definedName>
    <definedName name="Indexation">#REF!</definedName>
    <definedName name="IndexLevelN">#REF!</definedName>
    <definedName name="indicatore_cella_vuota_usata">#REF!</definedName>
    <definedName name="Inflation_construction">#REF!</definedName>
    <definedName name="Inflation_financial_close">#REF!</definedName>
    <definedName name="InflationTypeList">#REF!</definedName>
    <definedName name="InfraMaintN">#REF!</definedName>
    <definedName name="Initial_revenue0">#REF!</definedName>
    <definedName name="Inizio_prestito">#REF!</definedName>
    <definedName name="Input_macros">#REF!</definedName>
    <definedName name="Int">#REF!</definedName>
    <definedName name="Int_cum">#REF!</definedName>
    <definedName name="interc3">#REF!</definedName>
    <definedName name="InteresseTotale">SUM(#REF!)</definedName>
    <definedName name="interessi_formula">#REF!</definedName>
    <definedName name="Interessi_Prestito_soci">#REF!</definedName>
    <definedName name="Interessi_su_prestito_soci_DISPONIBILITà">#REF!</definedName>
    <definedName name="Interessi_su_prestito_soci_nel_Periodo_di_Costruzione_e_Disponibilità">#REF!</definedName>
    <definedName name="interessi_value">#REF!</definedName>
    <definedName name="Interest_rate">#REF!</definedName>
    <definedName name="Interna">#REF!</definedName>
    <definedName name="Investimenti">#REF!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42042.5981597222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RR">#REF!</definedName>
    <definedName name="IRR_nominal">#REF!</definedName>
    <definedName name="is">#REF!</definedName>
    <definedName name="JPY">#REF!</definedName>
    <definedName name="JPYUSD">#REF!</definedName>
    <definedName name="Last_Row">IF(Values_Entered,Header_Row+Number_of_Payments,Header_Row)</definedName>
    <definedName name="Last_year_duration">#REF!</definedName>
    <definedName name="LLCR">#REF!</definedName>
    <definedName name="lll">#REF!</definedName>
    <definedName name="LLLLL">#REF!</definedName>
    <definedName name="Loan_Amount">#REF!</definedName>
    <definedName name="Loan_Start">#REF!</definedName>
    <definedName name="Loan_Years">#REF!</definedName>
    <definedName name="LogStart">#REF!</definedName>
    <definedName name="Macro">#REF!</definedName>
    <definedName name="Macro_Periodo_Disponibilità">#REF!</definedName>
    <definedName name="MainCcymillions">#REF!</definedName>
    <definedName name="MainCcythousands">#REF!</definedName>
    <definedName name="Maintenance123Active">#REF!</definedName>
    <definedName name="Maintenance45Active">#REF!</definedName>
    <definedName name="mancata_copertura_TM">#REF!</definedName>
    <definedName name="MAPM">#REF!</definedName>
    <definedName name="MAPO">#REF!</definedName>
    <definedName name="MARKETING">#REF!</definedName>
    <definedName name="Marlou">#REF!</definedName>
    <definedName name="meno_uno">#REF!</definedName>
    <definedName name="mese">#REF!</definedName>
    <definedName name="MEZZI_PROPRI">#REF!</definedName>
    <definedName name="mezzo_inidoneo">#REF!</definedName>
    <definedName name="Months">#REF!</definedName>
    <definedName name="MOUVEMENT">#REF!</definedName>
    <definedName name="NbDeci">2</definedName>
    <definedName name="nnn">#REF!</definedName>
    <definedName name="Nome_file">#REF!</definedName>
    <definedName name="Nozionale_mensile_copia">#REF!</definedName>
    <definedName name="Nozionale_mensile_incolla">#REF!</definedName>
    <definedName name="Nozionale_semestrale_copia">#REF!</definedName>
    <definedName name="nozionale_semestrale_incolla">#REF!</definedName>
    <definedName name="NPV">#REF!</definedName>
    <definedName name="num">#REF!</definedName>
    <definedName name="Num_pag_anno">#REF!</definedName>
    <definedName name="Num_pagam">#REF!</definedName>
    <definedName name="Number_of_Payments">MATCH(0.01,End_Bal,-1)+1</definedName>
    <definedName name="Numero_di_pagamenti">MATCH(0.01,Sal_fin,-1)+1</definedName>
    <definedName name="NumeroDiPagamentiPianificato">#REF!</definedName>
    <definedName name="NumeroEffettivoPagamenti">IFERROR(IF(PrestitoFavorevole,IF(PagamentiPerAnno=1,1,MATCH(0.01,Saldo_finale,-1)+1)),"")</definedName>
    <definedName name="OF_e_imp_da_finanziare">#REF!</definedName>
    <definedName name="ONERI_FINANZIARI__a_CF___non_coperti_da_finanziamenti">#REF!</definedName>
    <definedName name="OperationsActive">#REF!</definedName>
    <definedName name="oppp">#REF!</definedName>
    <definedName name="Opzione_Hedging">#REF!</definedName>
    <definedName name="Origine">#REF!</definedName>
    <definedName name="Pag_extra">#REF!</definedName>
    <definedName name="Pagam_extra_pianif">#REF!</definedName>
    <definedName name="Pagam_mensile_pianif">#REF!</definedName>
    <definedName name="Pagam_pianif">#REF!</definedName>
    <definedName name="PagamentiAggiuntivi">#REF!</definedName>
    <definedName name="PagamentiPerAnno">#REF!</definedName>
    <definedName name="PagamentoPianificato">#REF!</definedName>
    <definedName name="Pal_Workbook_GUID" hidden="1">"UCMCF4BZL8E5A79R7PFGI3V3"</definedName>
    <definedName name="PalisadeReportWorkbookCreatedBy">"AtRisk"</definedName>
    <definedName name="particolare_afflusso_utenza">#REF!</definedName>
    <definedName name="Pay_Num">#REF!</definedName>
    <definedName name="per">#REF!</definedName>
    <definedName name="perc">#REF!</definedName>
    <definedName name="Percentuale_Base_e_Stand_by_copia">#REF!</definedName>
    <definedName name="Percentuale_Base_e_Stand_by_incolla">#REF!</definedName>
    <definedName name="Percentuale_Base_Stand_by_copia">#REF!</definedName>
    <definedName name="Percentuale_Base_Stand_by_incolla">#REF!</definedName>
    <definedName name="PeriodM">#REF!</definedName>
    <definedName name="PeriodNum">#REF!</definedName>
    <definedName name="Phase1_prelaunch">#REF!</definedName>
    <definedName name="Phase10_handback">#REF!</definedName>
    <definedName name="Phase2">#REF!</definedName>
    <definedName name="Phase4_trialrun">#REF!</definedName>
    <definedName name="Phase6">#REF!</definedName>
    <definedName name="Phase7_operations">#REF!</definedName>
    <definedName name="PLCR">#REF!</definedName>
    <definedName name="PrestitoFavorevole">(#REF!*#REF!*#REF!*#REF!)&gt;0</definedName>
    <definedName name="PriceLevel">#REF!</definedName>
    <definedName name="PriceLevelList">#REF!</definedName>
    <definedName name="PriceLevelN">#REF!</definedName>
    <definedName name="Princ">#REF!</definedName>
    <definedName name="qq">#REF!</definedName>
    <definedName name="Query_da_controllo_gestione_48">#REF!</definedName>
    <definedName name="Query1">#REF!</definedName>
    <definedName name="Ratios">#REF!</definedName>
    <definedName name="RECETTES">#REF!</definedName>
    <definedName name="_xlnm.Recorder">#REF!</definedName>
    <definedName name="Reimp_area_stampa">OFFSET(Stampa_compl,0,0,Ultima_riga)</definedName>
    <definedName name="RENDICONTO_FINANZIARIO_MENSILE">#REF!</definedName>
    <definedName name="Ricavi_da_tariffa">#REF!</definedName>
    <definedName name="Riga_intestazione">ROW(#REF!)</definedName>
    <definedName name="Rimborsi_WC_Copia">#REF!</definedName>
    <definedName name="RIMBORSI_WC_Incolla">#REF!</definedName>
    <definedName name="RISERVA_DI_CASSA_SERVIZIO_DEL_DEBITO">#REF!</definedName>
    <definedName name="RISERVA_LEGALE___DIVIDENDI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isparmio">#REF!</definedName>
    <definedName name="ROE">#REF!</definedName>
    <definedName name="ROE_nominal">#REF!</definedName>
    <definedName name="Rscena">#REF!</definedName>
    <definedName name="Rscenari">#REF!</definedName>
    <definedName name="Rscenarios">#REF!</definedName>
    <definedName name="Sal_fin">#REF!</definedName>
    <definedName name="Sal_iniz">#REF!</definedName>
    <definedName name="saldo">#REF!</definedName>
    <definedName name="Saldo_finale">#REF!</definedName>
    <definedName name="Sales_tax">#REF!</definedName>
    <definedName name="salto_turno_personale__mancata_coperturaTG">#REF!</definedName>
    <definedName name="Scenari">#REF!</definedName>
    <definedName name="Scenariorunning">#REF!</definedName>
    <definedName name="scenarios">#REF!</definedName>
    <definedName name="Sched_Pay">#REF!</definedName>
    <definedName name="Scheduled_Extra_Payments">#REF!</definedName>
    <definedName name="Scheduled_Monthly_Payment">#REF!</definedName>
    <definedName name="sciopero">#REF!</definedName>
    <definedName name="SEG">#REF!</definedName>
    <definedName name="SETRAM__BUDGET_1999">#REF!</definedName>
    <definedName name="short_name">#REF!</definedName>
    <definedName name="SIG_CONTROLE" hidden="1">#REF!</definedName>
    <definedName name="SIG_DERNIERECOLONNE" hidden="1">#REF!</definedName>
    <definedName name="SIG_LG11_firstLine" hidden="1">#REF!</definedName>
    <definedName name="SIG_LG11_H349" hidden="1">#REF!</definedName>
    <definedName name="SIG_LG11_H353" hidden="1">#REF!</definedName>
    <definedName name="SIG_LG11_H354" hidden="1">#REF!</definedName>
    <definedName name="SIG_LG11_H357" hidden="1">#REF!</definedName>
    <definedName name="SIG_LG11_H358" hidden="1">#REF!</definedName>
    <definedName name="SIG_LG11_H359" hidden="1">#REF!</definedName>
    <definedName name="SIG_LG11_H388" hidden="1">#REF!</definedName>
    <definedName name="SIG_LG11_H395" hidden="1">#REF!</definedName>
    <definedName name="SIG_LG11_IsControlOK" hidden="1">#REF!</definedName>
    <definedName name="SIG_LG11_lastLine" hidden="1">#REF!</definedName>
    <definedName name="SIG_LG11_ListeRangeMontant" hidden="1">#REF!</definedName>
    <definedName name="SIG_LG11_TITLECOL" hidden="1">#REF!</definedName>
    <definedName name="SIG_LG11_TITLELINE" hidden="1">#REF!</definedName>
    <definedName name="SIG_PTBD_LG11" hidden="1">#REF!</definedName>
    <definedName name="SIG_PTHG_LG11" hidden="1">#REF!</definedName>
    <definedName name="Smart_Chart_Data_Table_8844c4b0dc1e4f7aa98bb67c0e0d8cab">#REF!</definedName>
    <definedName name="Smart_Chart_Data_Table_f05b9a942e73421db797b135b2784000">#REF!</definedName>
    <definedName name="soppressione_corsa_per_regolazione_servizio">#REF!</definedName>
    <definedName name="Stampa_compl">#REF!</definedName>
    <definedName name="Stub_Name">#REF!</definedName>
    <definedName name="Subsidies_rate">#REF!</definedName>
    <definedName name="Switch">#REF!</definedName>
    <definedName name="Switch_insurance">#REF!</definedName>
    <definedName name="Tasso_interesse">#REF!</definedName>
    <definedName name="Tasso_interesse_pianif">#REF!</definedName>
    <definedName name="TassoInteresse">#REF!</definedName>
    <definedName name="Taux_aléas_AT">#REF!</definedName>
    <definedName name="Taux_aléas_Rep">#REF!</definedName>
    <definedName name="Taux_Marge">#REF!</definedName>
    <definedName name="Taux_Mgnt_Fees">#REF!</definedName>
    <definedName name="TauxActuariel">LEFT(#REF!,1)="A"</definedName>
    <definedName name="theTable">#REF!</definedName>
    <definedName name="Total_pagam">#REF!</definedName>
    <definedName name="Total_Pay">#REF!</definedName>
    <definedName name="Totale_carburante">#REF!</definedName>
    <definedName name="Totale_impieghi__al_netto_IVA">#REF!</definedName>
    <definedName name="Totale_interessi">#REF!</definedName>
    <definedName name="Totale_Oneri_Finanziari_e_Imposta_sostitutiva_su_erogazioni_a_Bilancio">#REF!</definedName>
    <definedName name="Totale_semestrale_Oneri_Finanziari_e_Imposta_sostitutiva_su_erogazioni_a_Bilancio">#REF!</definedName>
    <definedName name="TotalePagamentiAnticipati">SUM(#REF!)</definedName>
    <definedName name="TrainMaintN">#REF!</definedName>
    <definedName name="Ultima_riga">IF(Valori_immessi,Riga_intestazione+Numero_di_pagamenti,Riga_intestazione)</definedName>
    <definedName name="USD">#REF!</definedName>
    <definedName name="USDthousands">#REF!</definedName>
    <definedName name="USDUSD">#REF!</definedName>
    <definedName name="Utenze">#REF!</definedName>
    <definedName name="Valori_immessi">IF(Importo_prestito*Tasso_interesse*Anni_prestito*Inizio_prestito&gt;0,1,0)</definedName>
    <definedName name="Values_Entered">#N/A</definedName>
    <definedName name="Variazione_capitale_circolante_netto_di_costruzione">#REF!</definedName>
    <definedName name="Version">#REF!</definedName>
    <definedName name="www">#REF!</definedName>
    <definedName name="X060520_v2_Calcoli_semestrale_Elenca">#REF!</definedName>
    <definedName name="Years">#REF!</definedName>
    <definedName name="yy">#REF!</definedName>
    <definedName name="zzz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2" i="8" l="1"/>
  <c r="I52" i="8"/>
  <c r="H52" i="8"/>
  <c r="G52" i="8"/>
  <c r="F52" i="8"/>
  <c r="E52" i="8"/>
  <c r="D52" i="8"/>
  <c r="J47" i="8"/>
  <c r="I47" i="8"/>
  <c r="H47" i="8"/>
  <c r="G47" i="8"/>
  <c r="F47" i="8"/>
  <c r="E47" i="8"/>
  <c r="D47" i="8"/>
  <c r="D44" i="8"/>
  <c r="J43" i="8"/>
  <c r="I43" i="8"/>
  <c r="H43" i="8"/>
  <c r="G43" i="8"/>
  <c r="F43" i="8"/>
  <c r="E43" i="8"/>
  <c r="D43" i="8"/>
  <c r="J38" i="8"/>
  <c r="I38" i="8"/>
  <c r="H38" i="8"/>
  <c r="D40" i="8"/>
  <c r="E40" i="8" s="1"/>
  <c r="F40" i="8" s="1"/>
  <c r="G40" i="8" s="1"/>
  <c r="H40" i="8" s="1"/>
  <c r="I40" i="8" s="1"/>
  <c r="J40" i="8" s="1"/>
  <c r="J35" i="8"/>
  <c r="I35" i="8"/>
  <c r="H35" i="8"/>
  <c r="G35" i="8"/>
  <c r="F35" i="8"/>
  <c r="E35" i="8"/>
  <c r="D35" i="8"/>
  <c r="J29" i="8"/>
  <c r="I29" i="8"/>
  <c r="H29" i="8"/>
  <c r="G29" i="8"/>
  <c r="F29" i="8"/>
  <c r="E29" i="8"/>
  <c r="D29" i="8"/>
  <c r="C26" i="8"/>
  <c r="J23" i="8"/>
  <c r="I23" i="8"/>
  <c r="H23" i="8"/>
  <c r="G23" i="8"/>
  <c r="C22" i="8"/>
  <c r="D23" i="8" s="1"/>
  <c r="J20" i="8"/>
  <c r="I20" i="8"/>
  <c r="H20" i="8"/>
  <c r="G20" i="8"/>
  <c r="F20" i="8"/>
  <c r="E20" i="8"/>
  <c r="D20" i="8"/>
  <c r="G17" i="8"/>
  <c r="H17" i="8" s="1"/>
  <c r="I17" i="8" s="1"/>
  <c r="J17" i="8" s="1"/>
  <c r="D17" i="8"/>
  <c r="J16" i="8"/>
  <c r="I16" i="8"/>
  <c r="H16" i="8"/>
  <c r="J13" i="8"/>
  <c r="I13" i="8"/>
  <c r="H13" i="8"/>
  <c r="G13" i="8"/>
  <c r="F13" i="8"/>
  <c r="E13" i="8"/>
  <c r="D13" i="8"/>
  <c r="C7" i="8"/>
  <c r="F40" i="2"/>
  <c r="E27" i="2"/>
  <c r="G26" i="3"/>
  <c r="H9" i="2"/>
  <c r="J6" i="2"/>
  <c r="H6" i="2"/>
  <c r="O19" i="4"/>
  <c r="O20" i="4" s="1"/>
  <c r="I6" i="4"/>
  <c r="H6" i="4"/>
  <c r="G6" i="4"/>
  <c r="F6" i="4"/>
  <c r="E6" i="4"/>
  <c r="D6" i="4"/>
  <c r="C6" i="4"/>
  <c r="E31" i="3"/>
  <c r="D31" i="3"/>
  <c r="C30" i="4" s="1"/>
  <c r="H26" i="3"/>
  <c r="H24" i="3" s="1"/>
  <c r="G24" i="3"/>
  <c r="G28" i="3" s="1"/>
  <c r="J21" i="3"/>
  <c r="I21" i="3"/>
  <c r="H21" i="3"/>
  <c r="G21" i="3"/>
  <c r="F21" i="3"/>
  <c r="E21" i="3"/>
  <c r="D21" i="3"/>
  <c r="F19" i="3"/>
  <c r="E19" i="3"/>
  <c r="J12" i="3"/>
  <c r="I12" i="3"/>
  <c r="H12" i="3"/>
  <c r="G12" i="3"/>
  <c r="F12" i="3"/>
  <c r="E12" i="3"/>
  <c r="D12" i="3"/>
  <c r="J40" i="2"/>
  <c r="I40" i="2"/>
  <c r="H40" i="2"/>
  <c r="G40" i="2"/>
  <c r="E40" i="2"/>
  <c r="D40" i="2"/>
  <c r="E36" i="2"/>
  <c r="F28" i="2"/>
  <c r="E28" i="2"/>
  <c r="D28" i="2"/>
  <c r="J24" i="2"/>
  <c r="I24" i="2"/>
  <c r="H24" i="2"/>
  <c r="G24" i="2"/>
  <c r="G22" i="2" s="1"/>
  <c r="F24" i="2"/>
  <c r="E24" i="2"/>
  <c r="E22" i="2" s="1"/>
  <c r="D24" i="2"/>
  <c r="J23" i="2"/>
  <c r="I23" i="2"/>
  <c r="H23" i="2"/>
  <c r="H22" i="2" s="1"/>
  <c r="G23" i="2"/>
  <c r="F23" i="2"/>
  <c r="F22" i="2" s="1"/>
  <c r="E23" i="2"/>
  <c r="D23" i="2"/>
  <c r="J19" i="2"/>
  <c r="I19" i="2"/>
  <c r="H19" i="2"/>
  <c r="G19" i="2"/>
  <c r="F19" i="2"/>
  <c r="E19" i="2"/>
  <c r="D19" i="2"/>
  <c r="G17" i="2"/>
  <c r="E17" i="2"/>
  <c r="K11" i="2"/>
  <c r="J9" i="2"/>
  <c r="I9" i="2"/>
  <c r="G9" i="2"/>
  <c r="F9" i="2"/>
  <c r="E9" i="2"/>
  <c r="G6" i="2"/>
  <c r="I22" i="2" l="1"/>
  <c r="J22" i="2"/>
  <c r="J10" i="2"/>
  <c r="I5" i="4" s="1"/>
  <c r="I7" i="4" s="1"/>
  <c r="D22" i="2"/>
  <c r="H10" i="2"/>
  <c r="G5" i="4" s="1"/>
  <c r="G7" i="4" s="1"/>
  <c r="D31" i="8"/>
  <c r="D32" i="8" s="1"/>
  <c r="F31" i="3"/>
  <c r="H17" i="2"/>
  <c r="I30" i="2"/>
  <c r="H40" i="4"/>
  <c r="I26" i="3"/>
  <c r="I24" i="3" s="1"/>
  <c r="H30" i="2"/>
  <c r="G40" i="4"/>
  <c r="G10" i="2"/>
  <c r="F5" i="4" s="1"/>
  <c r="F7" i="4" s="1"/>
  <c r="I28" i="3"/>
  <c r="J31" i="8"/>
  <c r="J38" i="2" s="1"/>
  <c r="G28" i="2"/>
  <c r="E60" i="8"/>
  <c r="F40" i="4"/>
  <c r="F17" i="2"/>
  <c r="I8" i="8"/>
  <c r="H28" i="3"/>
  <c r="E8" i="8"/>
  <c r="I17" i="2"/>
  <c r="H31" i="8"/>
  <c r="H38" i="2" s="1"/>
  <c r="G30" i="2"/>
  <c r="I60" i="8"/>
  <c r="J8" i="8"/>
  <c r="I31" i="8"/>
  <c r="I38" i="2" s="1"/>
  <c r="J60" i="8"/>
  <c r="D61" i="8"/>
  <c r="D8" i="8"/>
  <c r="D9" i="8" s="1"/>
  <c r="D60" i="8"/>
  <c r="F8" i="8"/>
  <c r="C24" i="8"/>
  <c r="E31" i="8"/>
  <c r="E38" i="2" s="1"/>
  <c r="E35" i="2" s="1"/>
  <c r="F60" i="8"/>
  <c r="G8" i="8"/>
  <c r="D24" i="8"/>
  <c r="F31" i="8"/>
  <c r="F38" i="2" s="1"/>
  <c r="G60" i="8"/>
  <c r="H8" i="8"/>
  <c r="G31" i="8"/>
  <c r="G38" i="2" s="1"/>
  <c r="H60" i="8"/>
  <c r="E9" i="8" l="1"/>
  <c r="D15" i="3"/>
  <c r="E16" i="2"/>
  <c r="G41" i="4"/>
  <c r="G25" i="4"/>
  <c r="D9" i="2"/>
  <c r="D27" i="2"/>
  <c r="E32" i="8"/>
  <c r="D13" i="3"/>
  <c r="E21" i="2"/>
  <c r="E18" i="2" s="1"/>
  <c r="D36" i="2"/>
  <c r="D38" i="2"/>
  <c r="E61" i="8"/>
  <c r="D10" i="3"/>
  <c r="D5" i="3" s="1"/>
  <c r="I6" i="2"/>
  <c r="I10" i="2" s="1"/>
  <c r="H5" i="4" s="1"/>
  <c r="H7" i="4" s="1"/>
  <c r="E29" i="3"/>
  <c r="E13" i="2"/>
  <c r="F34" i="2"/>
  <c r="F30" i="2"/>
  <c r="F26" i="3"/>
  <c r="F24" i="3" s="1"/>
  <c r="F28" i="3" s="1"/>
  <c r="E40" i="4"/>
  <c r="F41" i="4" s="1"/>
  <c r="D16" i="2"/>
  <c r="D29" i="2"/>
  <c r="H34" i="2"/>
  <c r="J30" i="2"/>
  <c r="I40" i="4"/>
  <c r="J26" i="3"/>
  <c r="J24" i="3" s="1"/>
  <c r="J28" i="3" s="1"/>
  <c r="C40" i="4"/>
  <c r="C25" i="4" s="1"/>
  <c r="I34" i="2"/>
  <c r="G24" i="8"/>
  <c r="D19" i="3"/>
  <c r="J34" i="2"/>
  <c r="D6" i="2"/>
  <c r="H25" i="4"/>
  <c r="H41" i="4"/>
  <c r="F36" i="2"/>
  <c r="F35" i="2" s="1"/>
  <c r="F41" i="2" s="1"/>
  <c r="E9" i="4" s="1"/>
  <c r="D40" i="4"/>
  <c r="E30" i="2"/>
  <c r="E26" i="3"/>
  <c r="E24" i="3" s="1"/>
  <c r="E28" i="3" s="1"/>
  <c r="F6" i="2"/>
  <c r="F10" i="2" s="1"/>
  <c r="E5" i="4" s="1"/>
  <c r="E7" i="4" s="1"/>
  <c r="E6" i="2"/>
  <c r="E10" i="2" s="1"/>
  <c r="D5" i="4" s="1"/>
  <c r="D7" i="4" s="1"/>
  <c r="H28" i="2"/>
  <c r="F25" i="4"/>
  <c r="G34" i="2"/>
  <c r="D34" i="2"/>
  <c r="E34" i="2"/>
  <c r="E41" i="2" s="1"/>
  <c r="D9" i="4" s="1"/>
  <c r="J17" i="2"/>
  <c r="D21" i="2"/>
  <c r="D18" i="2" s="1"/>
  <c r="F27" i="2"/>
  <c r="G31" i="3"/>
  <c r="D13" i="2"/>
  <c r="D17" i="2"/>
  <c r="D26" i="2" l="1"/>
  <c r="D10" i="2"/>
  <c r="D11" i="3"/>
  <c r="D29" i="3"/>
  <c r="F16" i="2"/>
  <c r="G36" i="2"/>
  <c r="G35" i="2" s="1"/>
  <c r="G41" i="2" s="1"/>
  <c r="F9" i="4" s="1"/>
  <c r="E25" i="4"/>
  <c r="E41" i="4"/>
  <c r="F21" i="2"/>
  <c r="F18" i="2" s="1"/>
  <c r="F32" i="8"/>
  <c r="E13" i="3"/>
  <c r="D12" i="2"/>
  <c r="E29" i="2"/>
  <c r="E26" i="2" s="1"/>
  <c r="F9" i="8"/>
  <c r="E15" i="3"/>
  <c r="D30" i="2"/>
  <c r="F61" i="8"/>
  <c r="E10" i="3"/>
  <c r="E5" i="3" s="1"/>
  <c r="G27" i="2"/>
  <c r="K10" i="2"/>
  <c r="C5" i="4"/>
  <c r="C7" i="4" s="1"/>
  <c r="F13" i="2"/>
  <c r="F12" i="2" s="1"/>
  <c r="F29" i="3"/>
  <c r="H31" i="3"/>
  <c r="J28" i="2"/>
  <c r="I28" i="2"/>
  <c r="H24" i="8"/>
  <c r="G19" i="3"/>
  <c r="D35" i="2"/>
  <c r="D25" i="4"/>
  <c r="D41" i="4"/>
  <c r="I25" i="4"/>
  <c r="I41" i="4"/>
  <c r="E12" i="2"/>
  <c r="D20" i="3"/>
  <c r="K25" i="4" l="1"/>
  <c r="G32" i="8"/>
  <c r="F13" i="3"/>
  <c r="G16" i="2"/>
  <c r="E33" i="2"/>
  <c r="G13" i="2"/>
  <c r="G12" i="2" s="1"/>
  <c r="G61" i="8"/>
  <c r="F10" i="3"/>
  <c r="F5" i="3" s="1"/>
  <c r="F29" i="2"/>
  <c r="F26" i="2" s="1"/>
  <c r="F33" i="2" s="1"/>
  <c r="G21" i="2"/>
  <c r="G18" i="2" s="1"/>
  <c r="H36" i="2"/>
  <c r="H35" i="2" s="1"/>
  <c r="H41" i="2" s="1"/>
  <c r="G9" i="4" s="1"/>
  <c r="I24" i="8"/>
  <c r="H19" i="3"/>
  <c r="H27" i="2"/>
  <c r="I31" i="3"/>
  <c r="G9" i="8"/>
  <c r="F15" i="3"/>
  <c r="D33" i="2"/>
  <c r="D41" i="2"/>
  <c r="E11" i="3"/>
  <c r="E20" i="3" s="1"/>
  <c r="E30" i="3" s="1"/>
  <c r="E32" i="3" s="1"/>
  <c r="D11" i="4" s="1"/>
  <c r="H21" i="2" l="1"/>
  <c r="H18" i="2" s="1"/>
  <c r="E8" i="4"/>
  <c r="E10" i="4" s="1"/>
  <c r="F34" i="3"/>
  <c r="F35" i="3" s="1"/>
  <c r="J31" i="3"/>
  <c r="J24" i="8"/>
  <c r="J19" i="3" s="1"/>
  <c r="I19" i="3"/>
  <c r="H61" i="8"/>
  <c r="G10" i="3"/>
  <c r="G5" i="3" s="1"/>
  <c r="C9" i="4"/>
  <c r="E34" i="3"/>
  <c r="E35" i="3" s="1"/>
  <c r="D8" i="4"/>
  <c r="D10" i="4" s="1"/>
  <c r="D12" i="4" s="1"/>
  <c r="D21" i="4" s="1"/>
  <c r="D34" i="3"/>
  <c r="D35" i="3" s="1"/>
  <c r="D26" i="3" s="1"/>
  <c r="D24" i="3" s="1"/>
  <c r="D28" i="3" s="1"/>
  <c r="D30" i="3" s="1"/>
  <c r="D32" i="3" s="1"/>
  <c r="C11" i="4" s="1"/>
  <c r="C8" i="4"/>
  <c r="C10" i="4" s="1"/>
  <c r="G29" i="3"/>
  <c r="I27" i="2"/>
  <c r="I36" i="2"/>
  <c r="I35" i="2" s="1"/>
  <c r="I41" i="2" s="1"/>
  <c r="H9" i="4" s="1"/>
  <c r="H13" i="2"/>
  <c r="F11" i="3"/>
  <c r="F20" i="3" s="1"/>
  <c r="F30" i="3" s="1"/>
  <c r="F32" i="3" s="1"/>
  <c r="E11" i="4" s="1"/>
  <c r="H9" i="8"/>
  <c r="G15" i="3"/>
  <c r="H32" i="8"/>
  <c r="G13" i="3"/>
  <c r="H16" i="2"/>
  <c r="G29" i="2"/>
  <c r="G26" i="2" s="1"/>
  <c r="G33" i="2" s="1"/>
  <c r="H12" i="2" l="1"/>
  <c r="F8" i="4"/>
  <c r="F10" i="4" s="1"/>
  <c r="G34" i="3"/>
  <c r="G35" i="3" s="1"/>
  <c r="H29" i="2"/>
  <c r="H26" i="2" s="1"/>
  <c r="H33" i="2" s="1"/>
  <c r="I32" i="8"/>
  <c r="H13" i="3"/>
  <c r="I61" i="8"/>
  <c r="H10" i="3"/>
  <c r="H5" i="3" s="1"/>
  <c r="E12" i="4"/>
  <c r="E21" i="4" s="1"/>
  <c r="I9" i="8"/>
  <c r="H15" i="3"/>
  <c r="J36" i="2"/>
  <c r="J35" i="2" s="1"/>
  <c r="J41" i="2" s="1"/>
  <c r="I9" i="4" s="1"/>
  <c r="H29" i="3"/>
  <c r="D39" i="4"/>
  <c r="D26" i="4"/>
  <c r="I21" i="2"/>
  <c r="I18" i="2" s="1"/>
  <c r="C12" i="4"/>
  <c r="C21" i="4" s="1"/>
  <c r="J27" i="2"/>
  <c r="K35" i="2"/>
  <c r="I16" i="2"/>
  <c r="J16" i="2"/>
  <c r="I29" i="3"/>
  <c r="I13" i="2"/>
  <c r="G11" i="3"/>
  <c r="G20" i="3" s="1"/>
  <c r="G30" i="3" s="1"/>
  <c r="G32" i="3" s="1"/>
  <c r="F11" i="4" s="1"/>
  <c r="K41" i="2" l="1"/>
  <c r="J9" i="8"/>
  <c r="J15" i="3" s="1"/>
  <c r="I15" i="3"/>
  <c r="J32" i="8"/>
  <c r="J13" i="3" s="1"/>
  <c r="I13" i="3"/>
  <c r="E39" i="4"/>
  <c r="E26" i="4"/>
  <c r="J21" i="2"/>
  <c r="J18" i="2" s="1"/>
  <c r="J61" i="8"/>
  <c r="J10" i="3" s="1"/>
  <c r="J5" i="3" s="1"/>
  <c r="I10" i="3"/>
  <c r="I5" i="3" s="1"/>
  <c r="I12" i="2"/>
  <c r="I29" i="2"/>
  <c r="I26" i="2" s="1"/>
  <c r="G8" i="4"/>
  <c r="G10" i="4" s="1"/>
  <c r="G12" i="4" s="1"/>
  <c r="G21" i="4" s="1"/>
  <c r="H34" i="3"/>
  <c r="H35" i="3" s="1"/>
  <c r="J13" i="2"/>
  <c r="J12" i="2" s="1"/>
  <c r="J29" i="3"/>
  <c r="C39" i="4"/>
  <c r="C26" i="4"/>
  <c r="H11" i="3"/>
  <c r="H20" i="3" s="1"/>
  <c r="H30" i="3" s="1"/>
  <c r="H32" i="3" s="1"/>
  <c r="G11" i="4" s="1"/>
  <c r="F12" i="4"/>
  <c r="F21" i="4" s="1"/>
  <c r="I33" i="2" l="1"/>
  <c r="J29" i="2"/>
  <c r="J26" i="2" s="1"/>
  <c r="J33" i="2"/>
  <c r="I34" i="3"/>
  <c r="I35" i="3" s="1"/>
  <c r="H8" i="4"/>
  <c r="H10" i="4" s="1"/>
  <c r="I11" i="3"/>
  <c r="I20" i="3" s="1"/>
  <c r="I30" i="3" s="1"/>
  <c r="I32" i="3" s="1"/>
  <c r="H11" i="4" s="1"/>
  <c r="J11" i="3"/>
  <c r="J20" i="3" s="1"/>
  <c r="J30" i="3" s="1"/>
  <c r="J32" i="3" s="1"/>
  <c r="I11" i="4" s="1"/>
  <c r="G39" i="4"/>
  <c r="G26" i="4"/>
  <c r="F39" i="4"/>
  <c r="F26" i="4"/>
  <c r="K33" i="2"/>
  <c r="I8" i="4" l="1"/>
  <c r="I10" i="4" s="1"/>
  <c r="I12" i="4" s="1"/>
  <c r="I21" i="4" s="1"/>
  <c r="J34" i="3"/>
  <c r="J35" i="3" s="1"/>
  <c r="H12" i="4"/>
  <c r="H21" i="4" s="1"/>
  <c r="H39" i="4" l="1"/>
  <c r="H26" i="4"/>
  <c r="C22" i="4"/>
  <c r="C23" i="4" s="1"/>
  <c r="K21" i="4"/>
  <c r="L25" i="4" s="1"/>
  <c r="I39" i="4"/>
  <c r="I26" i="4"/>
  <c r="I24" i="4" l="1"/>
  <c r="G24" i="4"/>
  <c r="C38" i="4"/>
  <c r="E24" i="4"/>
  <c r="D24" i="4"/>
  <c r="C24" i="4"/>
  <c r="K23" i="4"/>
  <c r="H24" i="4"/>
  <c r="F24" i="4"/>
  <c r="K26" i="4"/>
  <c r="B43" i="4"/>
  <c r="C29" i="4"/>
  <c r="K24" i="4" l="1"/>
  <c r="C28" i="4"/>
  <c r="K28" i="4"/>
</calcChain>
</file>

<file path=xl/sharedStrings.xml><?xml version="1.0" encoding="utf-8"?>
<sst xmlns="http://schemas.openxmlformats.org/spreadsheetml/2006/main" count="439" uniqueCount="363">
  <si>
    <t>PIANO ECONOMICO-FINANZIARIO – Servizi di TPL su strada</t>
  </si>
  <si>
    <r>
      <rPr>
        <b/>
        <sz val="11"/>
        <rFont val="Calibri"/>
        <family val="1"/>
        <charset val="1"/>
      </rPr>
      <t xml:space="preserve">Schema 1 - Conto Economico Regolatorio
</t>
    </r>
    <r>
      <rPr>
        <i/>
        <sz val="11"/>
        <rFont val="Calibri"/>
        <family val="1"/>
        <charset val="1"/>
      </rPr>
      <t>L'obiettivo del presente schema è quello di calcolare la quota di costi della gestione caratteristica sostenuti per l'adempimento degli OSP, non coperti dai ricavi generati dall'assolvimento degli stessi (inclusi gli effetti positivi di rete</t>
    </r>
    <r>
      <rPr>
        <i/>
        <vertAlign val="superscript"/>
        <sz val="11"/>
        <rFont val="Calibri"/>
        <family val="1"/>
        <charset val="1"/>
      </rPr>
      <t>1</t>
    </r>
    <r>
      <rPr>
        <i/>
        <sz val="11"/>
        <rFont val="Calibri"/>
        <family val="1"/>
        <charset val="1"/>
      </rPr>
      <t>) che necessitano, assieme all'utile ragionevole (vd. Schema 2), di compensazione attraverso corrispettivi contrattuali.</t>
    </r>
  </si>
  <si>
    <r>
      <rPr>
        <b/>
        <sz val="11"/>
        <rFont val="Calibri"/>
        <family val="1"/>
        <charset val="1"/>
      </rPr>
      <t xml:space="preserve">Rif. Conto Economico CoReg (Annesso 3)
</t>
    </r>
    <r>
      <rPr>
        <b/>
        <i/>
        <sz val="11"/>
        <rFont val="Calibri"/>
        <family val="1"/>
        <charset val="1"/>
      </rPr>
      <t xml:space="preserve">ex </t>
    </r>
    <r>
      <rPr>
        <b/>
        <sz val="11"/>
        <rFont val="Calibri"/>
        <family val="1"/>
        <charset val="1"/>
      </rPr>
      <t>nota metodologica ART</t>
    </r>
    <r>
      <rPr>
        <vertAlign val="superscript"/>
        <sz val="11"/>
        <rFont val="Calibri"/>
        <family val="1"/>
        <charset val="1"/>
      </rPr>
      <t>*</t>
    </r>
  </si>
  <si>
    <t>Componenti economiche PEF</t>
  </si>
  <si>
    <t>Anno</t>
  </si>
  <si>
    <t>TPCERI0001 [al netto di TPCERI0006]</t>
  </si>
  <si>
    <t>1.a</t>
  </si>
  <si>
    <t>Ricavi da traffico</t>
  </si>
  <si>
    <t>TPCERI0002 + TPCERI0003 + TPCERI0004</t>
  </si>
  <si>
    <t>1.a.i</t>
  </si>
  <si>
    <t>di cui ricavi da titoli di viaggio</t>
  </si>
  <si>
    <t>TPCERI0005</t>
  </si>
  <si>
    <t>1.a.ii</t>
  </si>
  <si>
    <t>di cui compensazioni per agevolazioni/esenzioni tariffarie non coperte dal corrispettivo</t>
  </si>
  <si>
    <t>Voce non presente in CoReg</t>
  </si>
  <si>
    <t>1.a.iii</t>
  </si>
  <si>
    <t>di cui altro</t>
  </si>
  <si>
    <t>TPCERI0011 [se pertinente] + TPCERI0015</t>
  </si>
  <si>
    <t>1.b</t>
  </si>
  <si>
    <t>Altri proventi (escluso proventi finanziari)</t>
  </si>
  <si>
    <t>1 = 1.a + 1.b</t>
  </si>
  <si>
    <t>Totale ricavi generati dall'assolvimento degli OSP</t>
  </si>
  <si>
    <r>
      <rPr>
        <b/>
        <sz val="11"/>
        <rFont val="Calibri"/>
        <family val="1"/>
        <charset val="1"/>
      </rPr>
      <t>Effetti positivi di rete indotti</t>
    </r>
    <r>
      <rPr>
        <vertAlign val="superscript"/>
        <sz val="11"/>
        <rFont val="Calibri"/>
        <family val="1"/>
        <charset val="1"/>
      </rPr>
      <t>1</t>
    </r>
  </si>
  <si>
    <t>TPCECO0001</t>
  </si>
  <si>
    <t>3.a</t>
  </si>
  <si>
    <r>
      <rPr>
        <b/>
        <sz val="11"/>
        <rFont val="Calibri"/>
        <family val="1"/>
        <charset val="1"/>
      </rPr>
      <t>Consumi per materie prime, sussidiarie, di consumo e merci</t>
    </r>
    <r>
      <rPr>
        <vertAlign val="superscript"/>
        <sz val="6"/>
        <rFont val="Calibri"/>
        <family val="1"/>
        <charset val="1"/>
      </rPr>
      <t>2</t>
    </r>
  </si>
  <si>
    <t>TPCECO0002</t>
  </si>
  <si>
    <t>3.a.i</t>
  </si>
  <si>
    <t>di cui carburante per trazione</t>
  </si>
  <si>
    <t>TPCECO0003</t>
  </si>
  <si>
    <t>3.a.ii</t>
  </si>
  <si>
    <t>di cui elettricità per trazione</t>
  </si>
  <si>
    <t>3.a.iii</t>
  </si>
  <si>
    <t>di cui idrogeno per trazione</t>
  </si>
  <si>
    <t>TPCECO0004</t>
  </si>
  <si>
    <t>3.a.iv</t>
  </si>
  <si>
    <t>di cui per ricambi e materiale per manutenzione materiale rotabile</t>
  </si>
  <si>
    <t>TPCECO0005 + TPCECO0006</t>
  </si>
  <si>
    <t>3.a.v</t>
  </si>
  <si>
    <t>TPCECO0007</t>
  </si>
  <si>
    <t>3.b</t>
  </si>
  <si>
    <t>Costi per servizi di terzi</t>
  </si>
  <si>
    <t>TPCECO0008</t>
  </si>
  <si>
    <t>3.b.i</t>
  </si>
  <si>
    <t>di cui canoni di accesso e utilizzo infrastruttura</t>
  </si>
  <si>
    <t>TPCECO0009</t>
  </si>
  <si>
    <t>3.b.ii</t>
  </si>
  <si>
    <t>di cui manutenzione del materiale rotabile</t>
  </si>
  <si>
    <t>TPCECO0010 + … + TPCECO0017</t>
  </si>
  <si>
    <t>3.b.iii</t>
  </si>
  <si>
    <t>TPCECO0018</t>
  </si>
  <si>
    <t>3.c</t>
  </si>
  <si>
    <t>Costi per godimento beni di terzi</t>
  </si>
  <si>
    <t>TPCECO0020</t>
  </si>
  <si>
    <t>3.c.i</t>
  </si>
  <si>
    <r>
      <rPr>
        <i/>
        <sz val="10"/>
        <rFont val="Calibri"/>
        <family val="1"/>
        <charset val="1"/>
      </rPr>
      <t xml:space="preserve">di cui per canoni di leasing/noleggio materiale rotabile </t>
    </r>
    <r>
      <rPr>
        <i/>
        <u/>
        <sz val="10"/>
        <rFont val="Calibri"/>
        <family val="1"/>
        <charset val="1"/>
      </rPr>
      <t>[</t>
    </r>
    <r>
      <rPr>
        <b/>
        <i/>
        <u/>
        <sz val="10"/>
        <rFont val="Calibri"/>
        <family val="1"/>
        <charset val="1"/>
      </rPr>
      <t>non</t>
    </r>
    <r>
      <rPr>
        <b/>
        <i/>
        <sz val="10"/>
        <rFont val="Calibri"/>
        <family val="1"/>
        <charset val="1"/>
      </rPr>
      <t xml:space="preserve"> </t>
    </r>
    <r>
      <rPr>
        <b/>
        <i/>
        <u/>
        <sz val="10"/>
        <rFont val="Calibri"/>
        <family val="1"/>
        <charset val="1"/>
      </rPr>
      <t>contabilizzati</t>
    </r>
    <r>
      <rPr>
        <b/>
        <i/>
        <sz val="10"/>
        <rFont val="Calibri"/>
        <family val="1"/>
        <charset val="1"/>
      </rPr>
      <t xml:space="preserve"> </t>
    </r>
    <r>
      <rPr>
        <i/>
        <sz val="10"/>
        <rFont val="Calibri"/>
        <family val="1"/>
        <charset val="1"/>
      </rPr>
      <t>in applicazione dell'IFRS 16]</t>
    </r>
  </si>
  <si>
    <t>TPCECO0019 limitatamente alla quota relativa a depositi e rimesse]</t>
  </si>
  <si>
    <t>3.c.ii</t>
  </si>
  <si>
    <t>di cui per locazione depositi, rimesse e officine</t>
  </si>
  <si>
    <t>TPCECO0019 + TPCECO0021</t>
  </si>
  <si>
    <t>3.c.iii</t>
  </si>
  <si>
    <t>TPCECO0022</t>
  </si>
  <si>
    <t>3.d</t>
  </si>
  <si>
    <t>Costo del personale</t>
  </si>
  <si>
    <t>TPCECO0023</t>
  </si>
  <si>
    <t>3.d.i</t>
  </si>
  <si>
    <r>
      <rPr>
        <i/>
        <sz val="10"/>
        <rFont val="Calibri"/>
        <family val="1"/>
        <charset val="1"/>
      </rPr>
      <t>di cui addetti all'esercizio</t>
    </r>
    <r>
      <rPr>
        <i/>
        <vertAlign val="superscript"/>
        <sz val="10"/>
        <rFont val="Calibri"/>
        <family val="1"/>
        <charset val="1"/>
      </rPr>
      <t>3</t>
    </r>
  </si>
  <si>
    <t>TPCECO0025</t>
  </si>
  <si>
    <t>3.d.ii</t>
  </si>
  <si>
    <t>di cui addetti alla manutenzione</t>
  </si>
  <si>
    <t>TPCECO0024 + TPCECO0026 + TPCECO0027</t>
  </si>
  <si>
    <t>3.d.iii</t>
  </si>
  <si>
    <t>TPCECO0028 [al netto di TPCECO0029 + TPCECO0030]</t>
  </si>
  <si>
    <t>3.e</t>
  </si>
  <si>
    <t>Oneri diversi di gestione</t>
  </si>
  <si>
    <t>3.f</t>
  </si>
  <si>
    <r>
      <rPr>
        <b/>
        <sz val="11"/>
        <rFont val="Calibri"/>
        <family val="1"/>
        <charset val="1"/>
      </rPr>
      <t>Utilizzo fondi (ad es. relativi ad accantonamenti per
manutenzioni cicliche ordinarie)</t>
    </r>
    <r>
      <rPr>
        <vertAlign val="superscript"/>
        <sz val="6"/>
        <rFont val="Calibri"/>
        <family val="1"/>
        <charset val="1"/>
      </rPr>
      <t>4</t>
    </r>
  </si>
  <si>
    <t>TPCECO0032</t>
  </si>
  <si>
    <t>3.g</t>
  </si>
  <si>
    <t>- Incrementi di immobilizzazioni per lavori interni (costi capitalizzati)</t>
  </si>
  <si>
    <t>3 = 3.a + … + 3.f – 3.g</t>
  </si>
  <si>
    <r>
      <rPr>
        <b/>
        <sz val="11"/>
        <rFont val="Calibri"/>
        <family val="1"/>
        <charset val="1"/>
      </rPr>
      <t>Totale costi operativi generati dall'assolvimento degli OSP</t>
    </r>
    <r>
      <rPr>
        <b/>
        <vertAlign val="superscript"/>
        <sz val="6"/>
        <rFont val="Calibri"/>
        <family val="1"/>
        <charset val="1"/>
      </rPr>
      <t>5</t>
    </r>
  </si>
  <si>
    <t>TPCEAM0006 [limitatamente alla quota di imm. imm.]</t>
  </si>
  <si>
    <t>4.a</t>
  </si>
  <si>
    <t>Ammortamenti immobilizzazioni immateriali</t>
  </si>
  <si>
    <t>TPCEAM0001 [+ eventuali altre imm. mat. da TPCEAM0006]</t>
  </si>
  <si>
    <t>4.b</t>
  </si>
  <si>
    <t>Ammortamenti immobilizzazioni materiali</t>
  </si>
  <si>
    <t>TPCEAM0002</t>
  </si>
  <si>
    <t>4.b.i</t>
  </si>
  <si>
    <t>di cui per materiale rotabile autofinanziato</t>
  </si>
  <si>
    <t>TPCEAM0009</t>
  </si>
  <si>
    <t>4.b.i.i</t>
  </si>
  <si>
    <t>manutenzione straordinaria/revamping capitalizzati</t>
  </si>
  <si>
    <t>4.b.ii</t>
  </si>
  <si>
    <t>di cui per depositi, rimesse e officine</t>
  </si>
  <si>
    <t>4.b.iii</t>
  </si>
  <si>
    <r>
      <rPr>
        <i/>
        <sz val="10"/>
        <rFont val="Calibri"/>
        <family val="1"/>
        <charset val="1"/>
      </rPr>
      <t xml:space="preserve">di cui per canoni di leasing/noleggio </t>
    </r>
    <r>
      <rPr>
        <b/>
        <i/>
        <u/>
        <sz val="10"/>
        <rFont val="Calibri"/>
        <family val="1"/>
        <charset val="1"/>
      </rPr>
      <t>contabilizzati</t>
    </r>
    <r>
      <rPr>
        <b/>
        <i/>
        <sz val="10"/>
        <rFont val="Calibri"/>
        <family val="1"/>
        <charset val="1"/>
      </rPr>
      <t xml:space="preserve"> </t>
    </r>
    <r>
      <rPr>
        <i/>
        <sz val="10"/>
        <rFont val="Calibri"/>
        <family val="1"/>
        <charset val="1"/>
      </rPr>
      <t>in applicazione
dell'IFRS 16</t>
    </r>
  </si>
  <si>
    <t>TPCEAM0002 + TPCEAM0003 + TPCEAM0004 + TPCEAM0005 + TPCEAM0009</t>
  </si>
  <si>
    <t>4.b.iv</t>
  </si>
  <si>
    <t>4 = 4.a + 4.b</t>
  </si>
  <si>
    <t>Totale ammortamenti</t>
  </si>
  <si>
    <r>
      <rPr>
        <b/>
        <sz val="11"/>
        <rFont val="Calibri"/>
        <family val="1"/>
        <charset val="1"/>
      </rPr>
      <t xml:space="preserve">Schema 2 - Stato Patrimoniale Regolatorio e determinazione dell'utile ragionevole
</t>
    </r>
    <r>
      <rPr>
        <i/>
        <sz val="11"/>
        <rFont val="Calibri"/>
        <family val="1"/>
        <charset val="1"/>
      </rPr>
      <t>L'obiettivo dello Schema 2 è quello di determinare il Capitale Investito Netto (CIN) Regolatorio su cui applicare il WACC determinato dall'ART per il calcolo dell'utile ragionevole</t>
    </r>
  </si>
  <si>
    <r>
      <rPr>
        <b/>
        <sz val="11"/>
        <rFont val="Calibri"/>
        <family val="1"/>
        <charset val="1"/>
      </rPr>
      <t xml:space="preserve">Rif. Stato Patrimoniale CoReg (Annesso 3)
</t>
    </r>
    <r>
      <rPr>
        <b/>
        <i/>
        <sz val="11"/>
        <rFont val="Calibri"/>
        <family val="1"/>
        <charset val="1"/>
      </rPr>
      <t xml:space="preserve">ex </t>
    </r>
    <r>
      <rPr>
        <b/>
        <sz val="11"/>
        <rFont val="Calibri"/>
        <family val="1"/>
        <charset val="1"/>
      </rPr>
      <t>nota metodologica ART</t>
    </r>
    <r>
      <rPr>
        <b/>
        <vertAlign val="superscript"/>
        <sz val="11"/>
        <rFont val="Calibri"/>
        <family val="1"/>
        <charset val="1"/>
      </rPr>
      <t>*</t>
    </r>
  </si>
  <si>
    <t>Componenti patrimoniali PEF</t>
  </si>
  <si>
    <t>TPSPAT0008 [al netto di TPSPAT0010]</t>
  </si>
  <si>
    <t>Immobilizzazioni immateriali</t>
  </si>
  <si>
    <t>Voce non presente in CoReg [quota relativa di
TPSPAT0011]</t>
  </si>
  <si>
    <r>
      <t>di cui costi di impianto e ampliamento</t>
    </r>
    <r>
      <rPr>
        <i/>
        <vertAlign val="superscript"/>
        <sz val="10"/>
        <rFont val="Calibri"/>
        <family val="1"/>
        <charset val="1"/>
      </rPr>
      <t>1</t>
    </r>
  </si>
  <si>
    <r>
      <rPr>
        <i/>
        <sz val="10"/>
        <rFont val="Calibri"/>
        <family val="1"/>
        <charset val="1"/>
      </rPr>
      <t>di cui costi di sviluppo</t>
    </r>
    <r>
      <rPr>
        <i/>
        <vertAlign val="superscript"/>
        <sz val="10"/>
        <rFont val="Calibri"/>
        <family val="1"/>
        <charset val="1"/>
      </rPr>
      <t>2</t>
    </r>
  </si>
  <si>
    <t>TPSPAT0009 [per la relativa quota]</t>
  </si>
  <si>
    <r>
      <rPr>
        <i/>
        <sz val="10"/>
        <rFont val="Calibri"/>
        <family val="1"/>
        <charset val="1"/>
      </rPr>
      <t>di cui diritti di brevetto industriale e di utilizzazione delle opere di ingegno</t>
    </r>
    <r>
      <rPr>
        <i/>
        <vertAlign val="superscript"/>
        <sz val="10"/>
        <rFont val="Calibri"/>
        <family val="1"/>
        <charset val="1"/>
      </rPr>
      <t>3</t>
    </r>
  </si>
  <si>
    <t>1.a.iv</t>
  </si>
  <si>
    <r>
      <rPr>
        <i/>
        <sz val="10"/>
        <rFont val="Calibri"/>
        <family val="1"/>
        <charset val="1"/>
      </rPr>
      <t>di cui concessioni licenze e marchi</t>
    </r>
    <r>
      <rPr>
        <i/>
        <vertAlign val="superscript"/>
        <sz val="10"/>
        <rFont val="Calibri"/>
        <family val="1"/>
        <charset val="1"/>
      </rPr>
      <t>4</t>
    </r>
  </si>
  <si>
    <t>TPSPAT0011</t>
  </si>
  <si>
    <t>1.a.v</t>
  </si>
  <si>
    <t>TPSPAT0001</t>
  </si>
  <si>
    <r>
      <rPr>
        <sz val="14"/>
        <rFont val="Calibri"/>
        <family val="1"/>
        <charset val="1"/>
      </rPr>
      <t>Immobilizzazioni materiali</t>
    </r>
    <r>
      <rPr>
        <vertAlign val="superscript"/>
        <sz val="14"/>
        <rFont val="Calibri"/>
        <family val="1"/>
        <charset val="1"/>
      </rPr>
      <t>5</t>
    </r>
  </si>
  <si>
    <t>TPSPAT0003 + TPSPAT0004 [per la relativa quota]</t>
  </si>
  <si>
    <t>1.b.i</t>
  </si>
  <si>
    <t>di cui terreni e fabbricati</t>
  </si>
  <si>
    <t>TPSPAT0003 per la relativa quota</t>
  </si>
  <si>
    <t>1.b.i.i</t>
  </si>
  <si>
    <t>depositi, rimesse e officine</t>
  </si>
  <si>
    <t>TPSPAT0003 + ... + TPSPAT0006 [per la relativa quota]</t>
  </si>
  <si>
    <t>1.b.ii</t>
  </si>
  <si>
    <t>di cui impianti e macchinari</t>
  </si>
  <si>
    <t>TPSPAT0002</t>
  </si>
  <si>
    <t>1.b.ii.i</t>
  </si>
  <si>
    <t>materiale rotabile autofinanziato</t>
  </si>
  <si>
    <t>1.b.ii.ii</t>
  </si>
  <si>
    <t>1.b.ii.iii</t>
  </si>
  <si>
    <r>
      <rPr>
        <i/>
        <sz val="10"/>
        <rFont val="Calibri"/>
        <family val="1"/>
        <charset val="1"/>
      </rPr>
      <t xml:space="preserve">materiale rotabile acquisito in leasing/noleggio e </t>
    </r>
    <r>
      <rPr>
        <b/>
        <i/>
        <u/>
        <sz val="10"/>
        <rFont val="Calibri"/>
        <family val="1"/>
        <charset val="1"/>
      </rPr>
      <t>contabilizzato</t>
    </r>
    <r>
      <rPr>
        <b/>
        <i/>
        <sz val="10"/>
        <rFont val="Calibri"/>
        <family val="1"/>
        <charset val="1"/>
      </rPr>
      <t xml:space="preserve"> </t>
    </r>
    <r>
      <rPr>
        <i/>
        <sz val="10"/>
        <rFont val="Calibri"/>
        <family val="1"/>
        <charset val="1"/>
      </rPr>
      <t>in applicazione dell'IFRS 16</t>
    </r>
  </si>
  <si>
    <t>Voce non presente in CoReg [quota relativa di
TPSPAT0007]</t>
  </si>
  <si>
    <t>1.b.iii</t>
  </si>
  <si>
    <t>di cui attrezzature industriali e commerciali</t>
  </si>
  <si>
    <t>TPSPAT0007</t>
  </si>
  <si>
    <t>1.b.iv</t>
  </si>
  <si>
    <t>di cui altri beni</t>
  </si>
  <si>
    <t>Totale immobilizzazioni</t>
  </si>
  <si>
    <t>TPSPAT0020</t>
  </si>
  <si>
    <t>2.a</t>
  </si>
  <si>
    <t>Rimanenze</t>
  </si>
  <si>
    <t>Magazzino</t>
  </si>
  <si>
    <t>2.a.i</t>
  </si>
  <si>
    <t>di cui materie prime, sussidiarie, di consumo e merci</t>
  </si>
  <si>
    <t>2.a.ii</t>
  </si>
  <si>
    <t>di cui altre</t>
  </si>
  <si>
    <t>TPSPAT0022</t>
  </si>
  <si>
    <t>2.b</t>
  </si>
  <si>
    <t>Crediti</t>
  </si>
  <si>
    <t>TPSPAT0015 + TPSPAT0022</t>
  </si>
  <si>
    <t>2.b.i</t>
  </si>
  <si>
    <r>
      <rPr>
        <i/>
        <sz val="10"/>
        <rFont val="Calibri"/>
        <family val="1"/>
        <charset val="1"/>
      </rPr>
      <t>di cui commerciali</t>
    </r>
    <r>
      <rPr>
        <i/>
        <vertAlign val="superscript"/>
        <sz val="10"/>
        <rFont val="Calibri"/>
        <family val="1"/>
        <charset val="1"/>
      </rPr>
      <t>6</t>
    </r>
  </si>
  <si>
    <t>TPSPAT0024 [per la relativa quota]</t>
  </si>
  <si>
    <t>2.b.ii</t>
  </si>
  <si>
    <r>
      <rPr>
        <i/>
        <sz val="10"/>
        <rFont val="Calibri"/>
        <family val="1"/>
        <charset val="1"/>
      </rPr>
      <t>di cui verso ente affidante per pagamenti differiti</t>
    </r>
    <r>
      <rPr>
        <vertAlign val="superscript"/>
        <sz val="10"/>
        <rFont val="Calibri"/>
        <family val="1"/>
        <charset val="1"/>
      </rPr>
      <t>7</t>
    </r>
  </si>
  <si>
    <t>Pagamento a 30 giorni. Un mese rimasto a fine anno. Nel limite di 30% dei costi (regola ART)</t>
  </si>
  <si>
    <t>TPSPAT0024 [per la relativa quota residua]</t>
  </si>
  <si>
    <t>2.b.iii</t>
  </si>
  <si>
    <t>di cui altri crediti</t>
  </si>
  <si>
    <t>2 = 2.a + 2.b</t>
  </si>
  <si>
    <t>Totale attivo circolante regolatorio</t>
  </si>
  <si>
    <t>TPSPPS0008 + TPSPPS0009</t>
  </si>
  <si>
    <r>
      <rPr>
        <b/>
        <sz val="11"/>
        <rFont val="Calibri"/>
        <family val="1"/>
        <charset val="1"/>
      </rPr>
      <t>Debiti commerciali</t>
    </r>
    <r>
      <rPr>
        <vertAlign val="superscript"/>
        <sz val="11"/>
        <rFont val="Calibri"/>
        <family val="1"/>
        <charset val="1"/>
      </rPr>
      <t>8</t>
    </r>
  </si>
  <si>
    <t>Pagamento a 30 giorni. Tutti i costi considerati tranne costo del personale e ammortamenti</t>
  </si>
  <si>
    <t>4=1+2-3</t>
  </si>
  <si>
    <t>Capitale Investito Netto (CIN) Regolatorio</t>
  </si>
  <si>
    <t>WACC</t>
  </si>
  <si>
    <t>6=5*4</t>
  </si>
  <si>
    <t>Utile ragionevole</t>
  </si>
  <si>
    <t>WACC nominale pre-tax da delibera ART 39/2025, allegato A:</t>
  </si>
  <si>
    <r>
      <rPr>
        <b/>
        <sz val="11"/>
        <rFont val="Calibri"/>
        <family val="1"/>
        <charset val="1"/>
      </rPr>
      <t xml:space="preserve">Schema 3 - Determinazione della compensazione
</t>
    </r>
    <r>
      <rPr>
        <i/>
        <sz val="11"/>
        <rFont val="Calibri"/>
        <family val="1"/>
        <charset val="1"/>
      </rPr>
      <t>L'obiettivo dello schema 3 è la determinazione della compensazione per l'intera durata del contratto, calcolata come differenza tra ricavi (più eventuali ulteriori benefici prodotti dagli effetti di rete) e costi (più il ragionevole utile), riconducibili allo svolgimento dei servizi gravati da OSP.</t>
    </r>
  </si>
  <si>
    <t>Componenti economiche/Valori calcolati</t>
  </si>
  <si>
    <t>Rif. incrociati</t>
  </si>
  <si>
    <t>Dati di input</t>
  </si>
  <si>
    <t>A</t>
  </si>
  <si>
    <t>Ricavi generati dall'assolvimento degli OSP</t>
  </si>
  <si>
    <t>Schema 1:1</t>
  </si>
  <si>
    <t>B</t>
  </si>
  <si>
    <r>
      <rPr>
        <b/>
        <sz val="11"/>
        <rFont val="Calibri"/>
        <family val="1"/>
        <charset val="1"/>
      </rPr>
      <t>Effetti positivi di rete indotti</t>
    </r>
    <r>
      <rPr>
        <b/>
        <vertAlign val="superscript"/>
        <sz val="11"/>
        <rFont val="Calibri"/>
        <family val="1"/>
        <charset val="1"/>
      </rPr>
      <t>1</t>
    </r>
  </si>
  <si>
    <t>Schema 1:2</t>
  </si>
  <si>
    <t>C=A+B</t>
  </si>
  <si>
    <t>Ricavi + effetti positivi di rete</t>
  </si>
  <si>
    <t>D</t>
  </si>
  <si>
    <t>Costi operativi generati dall'assolvimento degli OSP</t>
  </si>
  <si>
    <t>Schema 1:3</t>
  </si>
  <si>
    <t>E</t>
  </si>
  <si>
    <t>Ammortamenti</t>
  </si>
  <si>
    <t>Schema 1:4</t>
  </si>
  <si>
    <t>F=D+E</t>
  </si>
  <si>
    <t>Costi operativi generati dall'assolvimento degli OSP + ammortamenti</t>
  </si>
  <si>
    <t>Val cal</t>
  </si>
  <si>
    <t>FG</t>
  </si>
  <si>
    <t>Utile ragionevole (WACC*CIN)</t>
  </si>
  <si>
    <t>Schema 2:6</t>
  </si>
  <si>
    <t>H=F+G</t>
  </si>
  <si>
    <t>Costi operativi + ammortamenti + utile ragionevole</t>
  </si>
  <si>
    <t>Condizione di applicazione della metodologia di calcolo del MUR</t>
  </si>
  <si>
    <t>I</t>
  </si>
  <si>
    <t>Tasso di riferimento del settore ART</t>
  </si>
  <si>
    <t>Input</t>
  </si>
  <si>
    <t>J</t>
  </si>
  <si>
    <t>Soglia di riferimento ART per verifica condizione</t>
  </si>
  <si>
    <t>K=I*J</t>
  </si>
  <si>
    <t>Tasso di riferimento del settore ART*soglia di riferimento ART per verifica
condizione</t>
  </si>
  <si>
    <t>L=C+(H-
C)</t>
  </si>
  <si>
    <t>Ricavi + effetti positivi di rete + compensazione variabile derivante da
WACC*CIN</t>
  </si>
  <si>
    <t>M=G/L</t>
  </si>
  <si>
    <t>Rapporto utile ragionevole/(ricavi + effetti di rete + compensazione)</t>
  </si>
  <si>
    <t>Verifica condizione di applicazione [=SE(M&lt;K;"SI";"NO")]</t>
  </si>
  <si>
    <t>SE "NO" allora si applica la metodologia basata su WACC*CIN</t>
  </si>
  <si>
    <t>N=H-C</t>
  </si>
  <si>
    <t>Compensazione variabile</t>
  </si>
  <si>
    <t>O</t>
  </si>
  <si>
    <t>VAN N</t>
  </si>
  <si>
    <r>
      <rPr>
        <i/>
        <vertAlign val="superscript"/>
        <sz val="14"/>
        <rFont val="Calibri"/>
        <family val="1"/>
        <charset val="1"/>
      </rPr>
      <t>Formula Excel =VAN(S; N</t>
    </r>
    <r>
      <rPr>
        <i/>
        <sz val="14"/>
        <rFont val="Calibri"/>
        <family val="1"/>
        <charset val="1"/>
      </rPr>
      <t xml:space="preserve">Anno 1  </t>
    </r>
    <r>
      <rPr>
        <i/>
        <vertAlign val="superscript"/>
        <sz val="14"/>
        <rFont val="Calibri"/>
        <family val="1"/>
        <charset val="1"/>
      </rPr>
      <t>: N</t>
    </r>
    <r>
      <rPr>
        <i/>
        <sz val="14"/>
        <rFont val="Calibri"/>
        <family val="1"/>
        <charset val="1"/>
      </rPr>
      <t>Anno n</t>
    </r>
    <r>
      <rPr>
        <i/>
        <vertAlign val="superscript"/>
        <sz val="14"/>
        <rFont val="Calibri"/>
        <family val="1"/>
        <charset val="1"/>
      </rPr>
      <t>)</t>
    </r>
  </si>
  <si>
    <t>P</t>
  </si>
  <si>
    <t>Compensazione costante</t>
  </si>
  <si>
    <t>Formula Excel =RATA(S; ANNI PEF; O)</t>
  </si>
  <si>
    <t>Q=P-N</t>
  </si>
  <si>
    <t>Poste figurative (compensazione costante - compensazione variabile)</t>
  </si>
  <si>
    <t>P'</t>
  </si>
  <si>
    <r>
      <rPr>
        <b/>
        <sz val="11"/>
        <rFont val="Calibri"/>
        <family val="1"/>
        <charset val="1"/>
      </rPr>
      <t>Compensazione effettiva</t>
    </r>
    <r>
      <rPr>
        <b/>
        <vertAlign val="superscript"/>
        <sz val="11"/>
        <rFont val="Calibri"/>
        <family val="1"/>
        <charset val="1"/>
      </rPr>
      <t>2 (incremento di 1,53% annuo)</t>
    </r>
  </si>
  <si>
    <t>Val EA</t>
  </si>
  <si>
    <t>Q'=P'-N</t>
  </si>
  <si>
    <t>Poste figurative (compensazione effettiva - compensazione variabile)</t>
  </si>
  <si>
    <r>
      <rPr>
        <b/>
        <sz val="11"/>
        <rFont val="Calibri"/>
        <family val="1"/>
        <charset val="1"/>
      </rPr>
      <t>CONDIZIONI DI VERIFICA DELLA COMPENSAZIONE COSTANTE/EFFETTIVA</t>
    </r>
    <r>
      <rPr>
        <b/>
        <vertAlign val="superscript"/>
        <sz val="5"/>
        <rFont val="Calibri"/>
        <family val="1"/>
        <charset val="1"/>
      </rPr>
      <t>3</t>
    </r>
  </si>
  <si>
    <t>R</t>
  </si>
  <si>
    <t>VAN Q = 0</t>
  </si>
  <si>
    <r>
      <rPr>
        <i/>
        <vertAlign val="superscript"/>
        <sz val="14"/>
        <rFont val="Calibri"/>
        <family val="1"/>
        <charset val="1"/>
      </rPr>
      <t>Formula Excel =SE((TRONCA(VAN(S; Q</t>
    </r>
    <r>
      <rPr>
        <i/>
        <sz val="14"/>
        <rFont val="Calibri"/>
        <family val="1"/>
        <charset val="1"/>
      </rPr>
      <t xml:space="preserve">Anno 1:
</t>
    </r>
    <r>
      <rPr>
        <i/>
        <vertAlign val="superscript"/>
        <sz val="14"/>
        <rFont val="Calibri"/>
        <family val="1"/>
        <charset val="1"/>
      </rPr>
      <t>Q</t>
    </r>
    <r>
      <rPr>
        <i/>
        <sz val="14"/>
        <rFont val="Calibri"/>
        <family val="1"/>
        <charset val="1"/>
      </rPr>
      <t>Annon</t>
    </r>
    <r>
      <rPr>
        <i/>
        <vertAlign val="superscript"/>
        <sz val="14"/>
        <rFont val="Calibri"/>
        <family val="1"/>
        <charset val="1"/>
      </rPr>
      <t>);1)=0;"SI";"NO")</t>
    </r>
  </si>
  <si>
    <t>R'</t>
  </si>
  <si>
    <t>VAN Q' = 0</t>
  </si>
  <si>
    <r>
      <rPr>
        <i/>
        <vertAlign val="superscript"/>
        <sz val="14"/>
        <rFont val="Calibri"/>
        <family val="1"/>
        <charset val="1"/>
      </rPr>
      <t>Formula Excel =SE((TRONCA(VAN(S; Q’</t>
    </r>
    <r>
      <rPr>
        <i/>
        <sz val="14"/>
        <rFont val="Calibri"/>
        <family val="1"/>
        <charset val="1"/>
      </rPr>
      <t xml:space="preserve">Anno 1:
</t>
    </r>
    <r>
      <rPr>
        <i/>
        <vertAlign val="superscript"/>
        <sz val="14"/>
        <rFont val="Calibri"/>
        <family val="1"/>
        <charset val="1"/>
      </rPr>
      <t>Q’</t>
    </r>
    <r>
      <rPr>
        <i/>
        <sz val="14"/>
        <rFont val="Calibri"/>
        <family val="1"/>
        <charset val="1"/>
      </rPr>
      <t>Annon</t>
    </r>
    <r>
      <rPr>
        <i/>
        <vertAlign val="superscript"/>
        <sz val="14"/>
        <rFont val="Calibri"/>
        <family val="1"/>
        <charset val="1"/>
      </rPr>
      <t>);1)=0;"SI";"NO")</t>
    </r>
  </si>
  <si>
    <t>S</t>
  </si>
  <si>
    <t>WACC ART</t>
  </si>
  <si>
    <t>Val ART</t>
  </si>
  <si>
    <t>SE "SI" allora si applica la metodologia alternativa basata sull'EBIT margin</t>
  </si>
  <si>
    <t>T</t>
  </si>
  <si>
    <t>Soglia di riferimento ART per calcolo compensazione</t>
  </si>
  <si>
    <t>U=T*I</t>
  </si>
  <si>
    <t>Tasso garantito all'IA</t>
  </si>
  <si>
    <t>Val Cal</t>
  </si>
  <si>
    <t>V</t>
  </si>
  <si>
    <r>
      <rPr>
        <b/>
        <sz val="11"/>
        <rFont val="Calibri"/>
        <family val="1"/>
        <charset val="1"/>
      </rPr>
      <t>Compensazione</t>
    </r>
    <r>
      <rPr>
        <b/>
        <vertAlign val="superscript"/>
        <sz val="11"/>
        <rFont val="Calibri"/>
        <family val="1"/>
        <charset val="1"/>
      </rPr>
      <t>4</t>
    </r>
    <r>
      <rPr>
        <b/>
        <sz val="11"/>
        <rFont val="Calibri"/>
        <family val="1"/>
        <charset val="1"/>
      </rPr>
      <t xml:space="preserve"> </t>
    </r>
    <r>
      <rPr>
        <b/>
        <i/>
        <sz val="11"/>
        <rFont val="Calibri"/>
        <family val="1"/>
        <charset val="1"/>
      </rPr>
      <t>[(-C+F-(U*C))/(1-U)</t>
    </r>
    <r>
      <rPr>
        <b/>
        <sz val="11"/>
        <rFont val="Calibri"/>
        <family val="1"/>
        <charset val="1"/>
      </rPr>
      <t>]</t>
    </r>
  </si>
  <si>
    <t>Note:</t>
  </si>
  <si>
    <r>
      <rPr>
        <i/>
        <vertAlign val="superscript"/>
        <sz val="10"/>
        <rFont val="Calibri"/>
        <family val="1"/>
        <charset val="1"/>
      </rPr>
      <t>1</t>
    </r>
    <r>
      <rPr>
        <i/>
        <sz val="10"/>
        <rFont val="Calibri"/>
        <family val="1"/>
        <charset val="1"/>
      </rPr>
      <t xml:space="preserve">Effetti finanziari positivi quantificabili sulle reti dell'operatore in questione di cui al Regolamento n. 1370/2007, Allegato, paragrafo 2, punto 2;
</t>
    </r>
    <r>
      <rPr>
        <i/>
        <vertAlign val="superscript"/>
        <sz val="10"/>
        <rFont val="Calibri"/>
        <family val="1"/>
        <charset val="1"/>
      </rPr>
      <t>2</t>
    </r>
    <r>
      <rPr>
        <i/>
        <sz val="10"/>
        <rFont val="Calibri"/>
        <family val="1"/>
        <charset val="1"/>
      </rPr>
      <t xml:space="preserve">Compensazione derivante da un'allocazione delle risorse previste a copertura del contratto diversa da quella derivante dall'applicazione degli schemi ART, per soddisfare esigenze finanziarie dell'EA;
</t>
    </r>
    <r>
      <rPr>
        <i/>
        <vertAlign val="superscript"/>
        <sz val="10"/>
        <rFont val="Calibri"/>
        <family val="1"/>
        <charset val="1"/>
      </rPr>
      <t>3</t>
    </r>
    <r>
      <rPr>
        <i/>
        <sz val="10"/>
        <rFont val="Calibri"/>
        <family val="1"/>
        <charset val="1"/>
      </rPr>
      <t xml:space="preserve">Condizione di verifica della compensazione: R/R’) Il valore attuale netto (VAN) delle poste figurative deve risultare pari a zero (da verificarsi in caso di compensazione costante/effettiva;
</t>
    </r>
    <r>
      <rPr>
        <i/>
        <vertAlign val="superscript"/>
        <sz val="10"/>
        <rFont val="Calibri"/>
        <family val="1"/>
        <charset val="1"/>
      </rPr>
      <t>4</t>
    </r>
    <r>
      <rPr>
        <i/>
        <sz val="10"/>
        <rFont val="Calibri"/>
        <family val="1"/>
        <charset val="1"/>
      </rPr>
      <t>Anche nel caso di determinazione della compensazione con il metodo alternativo di calcolo dell’utile ragionevole è possibile passare dalla versione variabile (V) a quelle costante o effettiva replicando le procedure (lettere O, e le condizioni di verifica (lettere R e R’), definite per la compensazione determinata con metodologia ordinaria (N); in caso di determinazione della compensazione costante il VAN di riferimento della rata è calcolato sulla grandezza V con il tasso U, quest’ultimo utilizzato anche per il calcolo delle poste figurative di compensazione costante ed effettiva.</t>
    </r>
  </si>
  <si>
    <t>corr./km costante</t>
  </si>
  <si>
    <t>corr./km variabile</t>
  </si>
  <si>
    <t>corr/effettivo</t>
  </si>
  <si>
    <t>indicizzazione corr. Effettivo</t>
  </si>
  <si>
    <t>PEF Terranuova</t>
  </si>
  <si>
    <t xml:space="preserve">TOTALE </t>
  </si>
  <si>
    <t>EBIT DEL SERVIZIO con AMM/LEAS</t>
  </si>
  <si>
    <t>COSTO €/KM INTERNO AT</t>
  </si>
  <si>
    <t>KM commerciali del servizio</t>
  </si>
  <si>
    <t>KM Subaffidati</t>
  </si>
  <si>
    <t>KM interni AT</t>
  </si>
  <si>
    <t>€/KM ricavo commerciale da contratto</t>
  </si>
  <si>
    <t>Margine percentuale</t>
  </si>
  <si>
    <t>RICAVI</t>
  </si>
  <si>
    <t>Ricavi da traffico di gara</t>
  </si>
  <si>
    <t>Retrocessione tramvia</t>
  </si>
  <si>
    <t>Ricavi netti</t>
  </si>
  <si>
    <t>Altri ricavi (Rimborso accisa)</t>
  </si>
  <si>
    <t>Ricavi personale distaccato</t>
  </si>
  <si>
    <t>Corrispettivo pubblico</t>
  </si>
  <si>
    <t>Riequilibrio carburante</t>
  </si>
  <si>
    <t>Quotaparte Contributo investimento autobus</t>
  </si>
  <si>
    <t>Contributo rinnovo bus</t>
  </si>
  <si>
    <t>TOTALE RICAVI</t>
  </si>
  <si>
    <t>COSTI OPERATIVI</t>
  </si>
  <si>
    <t>Addetti al movimento</t>
  </si>
  <si>
    <t>Addetti manutenzione</t>
  </si>
  <si>
    <t>Addetti amministrativi</t>
  </si>
  <si>
    <t>Altri costi del personale</t>
  </si>
  <si>
    <t>Contratto di 2° livello nuovi assunti</t>
  </si>
  <si>
    <t>Costo incentivo uscite volontarie concordate</t>
  </si>
  <si>
    <t>Costi di transizione</t>
  </si>
  <si>
    <t>Costi transizione pre firma CdS</t>
  </si>
  <si>
    <t>Costo dirigenti</t>
  </si>
  <si>
    <t>Consumi</t>
  </si>
  <si>
    <t>Gasolio</t>
  </si>
  <si>
    <t>Gestione coperture (costi Full Service pneumatici)</t>
  </si>
  <si>
    <t>Lubrificanti</t>
  </si>
  <si>
    <t>Ricambi e revisione complessivi</t>
  </si>
  <si>
    <t>Energia elettrica per officina, depositi e uffici</t>
  </si>
  <si>
    <t>Metano da riscaldamento officine e uffici</t>
  </si>
  <si>
    <t>Cancelleria e stampati</t>
  </si>
  <si>
    <t>Costo per servizi</t>
  </si>
  <si>
    <t>Manutenzione capannoni/impianti</t>
  </si>
  <si>
    <t>Manutenzione locali ufficio</t>
  </si>
  <si>
    <t>Costi di Manutenzione Tech</t>
  </si>
  <si>
    <t>Assicurazioni</t>
  </si>
  <si>
    <t>Tassa possesso</t>
  </si>
  <si>
    <t>Subaffidamenti</t>
  </si>
  <si>
    <t>Pedaggi autostradali</t>
  </si>
  <si>
    <t>Servizio esterno pulizia bus</t>
  </si>
  <si>
    <t>Accompagnamento scolastico</t>
  </si>
  <si>
    <t>Comunicazioni/trasmissioni dati autobus</t>
  </si>
  <si>
    <t>Telefonici e canoni rete uffici</t>
  </si>
  <si>
    <t>Provvigioni su titoli di viaggio</t>
  </si>
  <si>
    <t>Consulenze</t>
  </si>
  <si>
    <t>Mkt e pubblicità</t>
  </si>
  <si>
    <t>Costo subaffidamenti</t>
  </si>
  <si>
    <t>Costi fidejussione</t>
  </si>
  <si>
    <t>Costo organi societari (CdA, revisori, collegio sind.)</t>
  </si>
  <si>
    <t>Ammortamenti, Canoni Leasing e accantonamenti</t>
  </si>
  <si>
    <t>Ammortamento Autobus</t>
  </si>
  <si>
    <t>Amm BUS acquistati</t>
  </si>
  <si>
    <t>Amm. Beni IMMOBILI trasferiti</t>
  </si>
  <si>
    <t>Amm. Beni MOBILI acquistati (Tech)</t>
  </si>
  <si>
    <t>Amm. Beni MOBILI trasferiti</t>
  </si>
  <si>
    <t>TOT. AMMORTAMENTI</t>
  </si>
  <si>
    <t>Canoni di leasing (BUS)</t>
  </si>
  <si>
    <t>Canoni di locazione beni MOBILI trasferiti</t>
  </si>
  <si>
    <t>Canoni di locazione beni IMMOBILI</t>
  </si>
  <si>
    <t>TOT. CANONI</t>
  </si>
  <si>
    <t>Accontonamenti Riv TFR</t>
  </si>
  <si>
    <t>Costi di struttura - Oneri diversi di gestione</t>
  </si>
  <si>
    <t>TOTALE COSTI OPERATIVI</t>
  </si>
  <si>
    <t>Ambito 1</t>
  </si>
  <si>
    <t>Piano ammortamento</t>
  </si>
  <si>
    <t>Bus trasferiti/conferiti</t>
  </si>
  <si>
    <t>Valore di ripresa</t>
  </si>
  <si>
    <t>N bus</t>
  </si>
  <si>
    <t>Valore bus Conferiti</t>
  </si>
  <si>
    <t>Valore bus Trasferiti</t>
  </si>
  <si>
    <t>Totale Bus conferiti/trasferiti in servizio</t>
  </si>
  <si>
    <t>Q.ta ammortamento</t>
  </si>
  <si>
    <t>Valore residuo</t>
  </si>
  <si>
    <t>Paline (altri beni mobili)</t>
  </si>
  <si>
    <t>N paline</t>
  </si>
  <si>
    <t>Valore paline</t>
  </si>
  <si>
    <t>TOTALE VALORE DI RIPRESA</t>
  </si>
  <si>
    <t>Beni mobili</t>
  </si>
  <si>
    <t>Depositi</t>
  </si>
  <si>
    <t>Beni immobili</t>
  </si>
  <si>
    <t>Terreni</t>
  </si>
  <si>
    <t>Beni immobili -</t>
  </si>
  <si>
    <t xml:space="preserve">Canoni di locazione </t>
  </si>
  <si>
    <t>Canone di locazione</t>
  </si>
  <si>
    <t xml:space="preserve">Ambito 1 </t>
  </si>
  <si>
    <t>Altri costi pluriennali</t>
  </si>
  <si>
    <t>Costi gara e CdS</t>
  </si>
  <si>
    <t>Costi impianto e sito web</t>
  </si>
  <si>
    <t>Costi certificazioni (escluso mantenimento)</t>
  </si>
  <si>
    <t>Costi AVM</t>
  </si>
  <si>
    <t>Data inizio</t>
  </si>
  <si>
    <t>Data fine</t>
  </si>
  <si>
    <t>NOTE</t>
  </si>
  <si>
    <t>Sono considerati 3,5 autisti al mese FTE per un costo annuo medio di 41.000 €</t>
  </si>
  <si>
    <t>viene considerato altro personale per un valore del 10% - costo addetto medio c.ca 45.000 €</t>
  </si>
  <si>
    <t>I Bus di Terranuova hanno un consumo di 5,4 km/l. Si divide i km totali/5,4 e si moltiplica il costo medio del gasolio 1.30</t>
  </si>
  <si>
    <t>Abbiamo un full servizi per i pneumatici di 0,028 € per ogni km</t>
  </si>
  <si>
    <t>Lubrificante conisderato 0,016 €/km</t>
  </si>
  <si>
    <t>Manutenzione 0,25 €/km</t>
  </si>
  <si>
    <t>Assicurazione per bus 4000 euro per bus</t>
  </si>
  <si>
    <t>circa 350 euro a bus</t>
  </si>
  <si>
    <t>Servizio di pulizia sono circa 100 euro bus al mese</t>
  </si>
  <si>
    <t>Questo è l'ammortamento per i bus di terranuova (dato a cespite)</t>
  </si>
  <si>
    <t>Quota parte del deposito di terranuova. Per imputare meno possibile abbiamo considerato la quota parte di mq impegnati</t>
  </si>
  <si>
    <t>Come sopra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</si>
</sst>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€-410]\ #,##0.00;[Red]\-[$€-410]\ #,##0.00"/>
    <numFmt numFmtId="165" formatCode="#,##0.00\ [$€-410];[Red]\-#,##0.00\ [$€-410]"/>
    <numFmt numFmtId="166" formatCode="#,##0.00&quot; €&quot;;[Red]\-#,##0.00&quot; €&quot;"/>
    <numFmt numFmtId="167" formatCode="#,##0.0000"/>
    <numFmt numFmtId="168" formatCode="_-* #,##0.000_-;\-* #,##0.000_-;_-* &quot;-&quot;??_-;_-@_-"/>
    <numFmt numFmtId="169" formatCode="0.0%"/>
    <numFmt numFmtId="170" formatCode="#,##0;\(#,##0\);&quot;-&quot;"/>
    <numFmt numFmtId="171" formatCode="_-* #,##0.00_-;\-* #,##0.00_-;_-* \-??_-;_-@_-"/>
    <numFmt numFmtId="172" formatCode="_-* #,##0_-;\-* #,##0_-;_-* \-??_-;_-@_-"/>
    <numFmt numFmtId="173" formatCode="_-* #,##0.00&quot; €&quot;_-;\-* #,##0.00&quot; €&quot;_-;_-* \-??&quot; €&quot;_-;_-@_-"/>
    <numFmt numFmtId="174" formatCode="#,##0_ ;[Red]\-#,##0\ "/>
  </numFmts>
  <fonts count="6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4"/>
      <name val="Calibri"/>
      <family val="1"/>
      <charset val="1"/>
    </font>
    <font>
      <b/>
      <sz val="11"/>
      <name val="Calibri"/>
      <family val="1"/>
      <charset val="1"/>
    </font>
    <font>
      <i/>
      <sz val="11"/>
      <name val="Calibri"/>
      <family val="1"/>
      <charset val="1"/>
    </font>
    <font>
      <i/>
      <vertAlign val="superscript"/>
      <sz val="11"/>
      <name val="Calibri"/>
      <family val="1"/>
      <charset val="1"/>
    </font>
    <font>
      <b/>
      <i/>
      <sz val="11"/>
      <name val="Calibri"/>
      <family val="1"/>
      <charset val="1"/>
    </font>
    <font>
      <vertAlign val="superscript"/>
      <sz val="11"/>
      <name val="Calibri"/>
      <family val="1"/>
      <charset val="1"/>
    </font>
    <font>
      <b/>
      <sz val="12"/>
      <name val="Calibri"/>
      <family val="1"/>
      <charset val="1"/>
    </font>
    <font>
      <b/>
      <sz val="12"/>
      <color rgb="FF000000"/>
      <name val="Calibri"/>
      <family val="2"/>
      <charset val="1"/>
    </font>
    <font>
      <b/>
      <sz val="8"/>
      <name val="Calibri"/>
      <family val="1"/>
      <charset val="1"/>
    </font>
    <font>
      <sz val="12"/>
      <name val="Calibri"/>
      <family val="2"/>
      <charset val="1"/>
    </font>
    <font>
      <b/>
      <sz val="14"/>
      <name val="Calibri"/>
      <family val="2"/>
      <charset val="1"/>
    </font>
    <font>
      <sz val="12"/>
      <color rgb="FF000000"/>
      <name val="Calibri"/>
      <family val="2"/>
      <charset val="1"/>
    </font>
    <font>
      <i/>
      <sz val="8"/>
      <name val="Calibri"/>
      <family val="1"/>
      <charset val="1"/>
    </font>
    <font>
      <i/>
      <sz val="12"/>
      <name val="Calibri"/>
      <family val="2"/>
      <charset val="1"/>
    </font>
    <font>
      <i/>
      <sz val="14"/>
      <name val="Calibri"/>
      <family val="2"/>
      <charset val="1"/>
    </font>
    <font>
      <b/>
      <sz val="12"/>
      <name val="Calibri"/>
      <family val="2"/>
      <charset val="1"/>
    </font>
    <font>
      <vertAlign val="superscript"/>
      <sz val="6"/>
      <name val="Calibri"/>
      <family val="1"/>
      <charset val="1"/>
    </font>
    <font>
      <i/>
      <sz val="10"/>
      <name val="Calibri"/>
      <family val="1"/>
      <charset val="1"/>
    </font>
    <font>
      <i/>
      <u/>
      <sz val="10"/>
      <name val="Calibri"/>
      <family val="1"/>
      <charset val="1"/>
    </font>
    <font>
      <b/>
      <i/>
      <u/>
      <sz val="10"/>
      <name val="Calibri"/>
      <family val="1"/>
      <charset val="1"/>
    </font>
    <font>
      <b/>
      <i/>
      <sz val="10"/>
      <name val="Calibri"/>
      <family val="1"/>
      <charset val="1"/>
    </font>
    <font>
      <i/>
      <vertAlign val="superscript"/>
      <sz val="10"/>
      <name val="Calibri"/>
      <family val="1"/>
      <charset val="1"/>
    </font>
    <font>
      <b/>
      <i/>
      <sz val="8"/>
      <name val="Calibri"/>
      <family val="1"/>
      <charset val="1"/>
    </font>
    <font>
      <b/>
      <i/>
      <sz val="14"/>
      <name val="Calibri"/>
      <family val="2"/>
      <charset val="1"/>
    </font>
    <font>
      <b/>
      <vertAlign val="superscript"/>
      <sz val="6"/>
      <name val="Calibri"/>
      <family val="1"/>
      <charset val="1"/>
    </font>
    <font>
      <b/>
      <vertAlign val="superscript"/>
      <sz val="11"/>
      <name val="Calibri"/>
      <family val="1"/>
      <charset val="1"/>
    </font>
    <font>
      <b/>
      <sz val="14"/>
      <color rgb="FF000000"/>
      <name val="Calibri"/>
      <family val="2"/>
      <charset val="1"/>
    </font>
    <font>
      <sz val="14"/>
      <name val="Calibri"/>
      <family val="2"/>
      <charset val="1"/>
    </font>
    <font>
      <sz val="14"/>
      <color rgb="FF000000"/>
      <name val="Calibri"/>
      <family val="2"/>
      <charset val="1"/>
    </font>
    <font>
      <sz val="14"/>
      <color rgb="FF000000"/>
      <name val="Calibri"/>
      <family val="2"/>
    </font>
    <font>
      <sz val="14"/>
      <name val="Calibri"/>
      <family val="1"/>
      <charset val="1"/>
    </font>
    <font>
      <vertAlign val="superscript"/>
      <sz val="14"/>
      <name val="Calibri"/>
      <family val="1"/>
      <charset val="1"/>
    </font>
    <font>
      <i/>
      <sz val="12"/>
      <name val="Calibri"/>
      <family val="1"/>
      <charset val="1"/>
    </font>
    <font>
      <vertAlign val="superscript"/>
      <sz val="10"/>
      <name val="Calibri"/>
      <family val="1"/>
      <charset val="1"/>
    </font>
    <font>
      <b/>
      <sz val="14"/>
      <color rgb="FFC9211E"/>
      <name val="Calibri"/>
      <family val="2"/>
      <charset val="1"/>
    </font>
    <font>
      <b/>
      <i/>
      <sz val="14"/>
      <name val="Calibri"/>
      <family val="1"/>
      <charset val="1"/>
    </font>
    <font>
      <i/>
      <sz val="14"/>
      <name val="Calibri"/>
      <family val="1"/>
      <charset val="1"/>
    </font>
    <font>
      <b/>
      <strike/>
      <sz val="14"/>
      <name val="Calibri"/>
      <family val="1"/>
      <charset val="1"/>
    </font>
    <font>
      <i/>
      <vertAlign val="superscript"/>
      <sz val="14"/>
      <name val="Calibri"/>
      <family val="1"/>
      <charset val="1"/>
    </font>
    <font>
      <b/>
      <vertAlign val="superscript"/>
      <sz val="5"/>
      <name val="Calibri"/>
      <family val="1"/>
      <charset val="1"/>
    </font>
    <font>
      <i/>
      <sz val="9"/>
      <name val="Calibri"/>
      <family val="1"/>
      <charset val="1"/>
    </font>
    <font>
      <b/>
      <sz val="14"/>
      <color rgb="FF002060"/>
      <name val="Arial"/>
      <family val="2"/>
    </font>
    <font>
      <sz val="11"/>
      <color theme="1"/>
      <name val="Arial Narrow"/>
      <family val="2"/>
    </font>
    <font>
      <b/>
      <sz val="11"/>
      <color theme="0"/>
      <name val="Arial Narrow"/>
      <family val="2"/>
    </font>
    <font>
      <sz val="11"/>
      <color theme="0"/>
      <name val="Arial Narrow"/>
      <family val="2"/>
    </font>
    <font>
      <b/>
      <sz val="12"/>
      <color rgb="FF002060"/>
      <name val="Arial Narrow"/>
      <family val="2"/>
    </font>
    <font>
      <sz val="11"/>
      <color rgb="FFFF0000"/>
      <name val="Arial Narrow"/>
      <family val="2"/>
    </font>
    <font>
      <b/>
      <sz val="12"/>
      <color rgb="FFFF0000"/>
      <name val="Arial Narrow"/>
      <family val="2"/>
    </font>
    <font>
      <b/>
      <sz val="11"/>
      <color rgb="FF002060"/>
      <name val="Arial Narrow"/>
      <family val="2"/>
    </font>
    <font>
      <sz val="11"/>
      <name val="Arial Narrow"/>
      <family val="2"/>
    </font>
    <font>
      <sz val="11"/>
      <color theme="4"/>
      <name val="Arial Narrow"/>
      <family val="2"/>
    </font>
    <font>
      <i/>
      <sz val="11"/>
      <name val="Arial Narrow"/>
      <family val="2"/>
    </font>
    <font>
      <b/>
      <sz val="10"/>
      <color theme="0"/>
      <name val="Arial Narrow"/>
      <family val="2"/>
    </font>
    <font>
      <b/>
      <sz val="12"/>
      <color theme="0"/>
      <name val="Arial Narrow"/>
      <family val="2"/>
    </font>
    <font>
      <b/>
      <sz val="11"/>
      <name val="Arial Narrow"/>
      <family val="2"/>
    </font>
    <font>
      <b/>
      <sz val="11"/>
      <color theme="4"/>
      <name val="Arial Narrow"/>
      <family val="2"/>
    </font>
    <font>
      <b/>
      <sz val="11"/>
      <color theme="1"/>
      <name val="Arial Narrow"/>
      <family val="2"/>
    </font>
    <font>
      <sz val="10"/>
      <color rgb="FF000000"/>
      <name val="Calibri"/>
      <family val="2"/>
      <charset val="1"/>
    </font>
    <font>
      <b/>
      <sz val="1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rgb="FFFFFFFF"/>
      <name val="Calibri"/>
      <family val="2"/>
      <charset val="1"/>
    </font>
    <font>
      <b/>
      <sz val="10"/>
      <color rgb="FFFF0000"/>
      <name val="Calibri"/>
      <family val="2"/>
      <charset val="1"/>
    </font>
  </fonts>
  <fills count="17">
    <fill>
      <patternFill patternType="none"/>
    </fill>
    <fill>
      <patternFill patternType="gray125"/>
    </fill>
    <fill>
      <patternFill patternType="solid">
        <fgColor rgb="FFFFF4CC"/>
        <bgColor rgb="FFFFFDCC"/>
      </patternFill>
    </fill>
    <fill>
      <patternFill patternType="solid">
        <fgColor rgb="FFD8D8D8"/>
        <bgColor rgb="FFD9D9D9"/>
      </patternFill>
    </fill>
    <fill>
      <patternFill patternType="solid">
        <fgColor rgb="FFDDDDDD"/>
        <bgColor rgb="FFD9D9D9"/>
      </patternFill>
    </fill>
    <fill>
      <patternFill patternType="darkGray">
        <fgColor rgb="FFFFFDCC"/>
        <bgColor rgb="FFFFF4CC"/>
      </patternFill>
    </fill>
    <fill>
      <patternFill patternType="solid">
        <fgColor rgb="FFB2B2B2"/>
        <bgColor rgb="FFAEAAAA"/>
      </patternFill>
    </fill>
    <fill>
      <patternFill patternType="solid">
        <fgColor rgb="FFA5A5A5"/>
        <bgColor rgb="FFA6A6A6"/>
      </patternFill>
    </fill>
    <fill>
      <patternFill patternType="solid">
        <fgColor rgb="FFE9EDF0"/>
        <bgColor rgb="FFF2F2F2"/>
      </patternFill>
    </fill>
    <fill>
      <patternFill patternType="solid">
        <fgColor rgb="FFAEAAAA"/>
        <bgColor rgb="FFA6A6A6"/>
      </patternFill>
    </fill>
    <fill>
      <patternFill patternType="solid">
        <fgColor theme="3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1F487E"/>
        <bgColor rgb="FF003366"/>
      </patternFill>
    </fill>
    <fill>
      <patternFill patternType="solid">
        <fgColor rgb="FF00B0F0"/>
        <bgColor rgb="FF35C6B1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theme="0"/>
      </right>
      <top style="hair">
        <color indexed="64"/>
      </top>
      <bottom style="hair">
        <color indexed="64"/>
      </bottom>
      <diagonal/>
    </border>
    <border>
      <left style="thin">
        <color theme="0"/>
      </left>
      <right style="thin">
        <color theme="0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rgb="FFFFFFFF"/>
      </right>
      <top style="medium">
        <color auto="1"/>
      </top>
      <bottom/>
      <diagonal/>
    </border>
    <border>
      <left/>
      <right style="thin">
        <color rgb="FFFFFFFF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71" fontId="2" fillId="0" borderId="0" applyBorder="0" applyProtection="0"/>
    <xf numFmtId="173" fontId="2" fillId="0" borderId="0" applyBorder="0" applyProtection="0"/>
  </cellStyleXfs>
  <cellXfs count="227">
    <xf numFmtId="0" fontId="0" fillId="0" borderId="0" xfId="0"/>
    <xf numFmtId="0" fontId="2" fillId="0" borderId="0" xfId="4"/>
    <xf numFmtId="1" fontId="10" fillId="2" borderId="1" xfId="4" applyNumberFormat="1" applyFont="1" applyFill="1" applyBorder="1" applyAlignment="1">
      <alignment horizontal="center" vertical="top" shrinkToFit="1"/>
    </xf>
    <xf numFmtId="0" fontId="11" fillId="0" borderId="1" xfId="4" applyFont="1" applyBorder="1" applyAlignment="1">
      <alignment horizontal="left" vertical="top" wrapText="1"/>
    </xf>
    <xf numFmtId="0" fontId="12" fillId="0" borderId="1" xfId="4" applyFont="1" applyBorder="1" applyAlignment="1">
      <alignment horizontal="center" vertical="top" wrapText="1"/>
    </xf>
    <xf numFmtId="0" fontId="13" fillId="0" borderId="1" xfId="4" applyFont="1" applyBorder="1" applyAlignment="1">
      <alignment horizontal="left" vertical="top" wrapText="1"/>
    </xf>
    <xf numFmtId="44" fontId="14" fillId="0" borderId="1" xfId="2" applyFont="1" applyBorder="1" applyAlignment="1">
      <alignment horizontal="left" wrapText="1"/>
    </xf>
    <xf numFmtId="0" fontId="15" fillId="0" borderId="1" xfId="4" applyFont="1" applyBorder="1" applyAlignment="1">
      <alignment horizontal="left" vertical="top" wrapText="1"/>
    </xf>
    <xf numFmtId="0" fontId="16" fillId="0" borderId="1" xfId="4" applyFont="1" applyBorder="1" applyAlignment="1">
      <alignment horizontal="center" vertical="top" wrapText="1"/>
    </xf>
    <xf numFmtId="0" fontId="17" fillId="0" borderId="1" xfId="4" applyFont="1" applyBorder="1" applyAlignment="1">
      <alignment horizontal="left" vertical="top" wrapText="1"/>
    </xf>
    <xf numFmtId="44" fontId="14" fillId="0" borderId="1" xfId="2" applyFont="1" applyBorder="1" applyAlignment="1">
      <alignment horizontal="center" wrapText="1"/>
    </xf>
    <xf numFmtId="44" fontId="14" fillId="0" borderId="1" xfId="2" applyFont="1" applyBorder="1" applyAlignment="1">
      <alignment horizontal="center" vertical="center" wrapText="1"/>
    </xf>
    <xf numFmtId="0" fontId="2" fillId="3" borderId="1" xfId="4" applyFill="1" applyBorder="1" applyAlignment="1">
      <alignment horizontal="left" wrapText="1"/>
    </xf>
    <xf numFmtId="0" fontId="18" fillId="3" borderId="1" xfId="4" applyFont="1" applyFill="1" applyBorder="1" applyAlignment="1">
      <alignment horizontal="center" vertical="top" wrapText="1"/>
    </xf>
    <xf numFmtId="0" fontId="13" fillId="3" borderId="1" xfId="4" applyFont="1" applyFill="1" applyBorder="1" applyAlignment="1">
      <alignment horizontal="left" vertical="top" wrapText="1"/>
    </xf>
    <xf numFmtId="44" fontId="10" fillId="3" borderId="1" xfId="2" applyFont="1" applyFill="1" applyBorder="1" applyAlignment="1">
      <alignment horizontal="left" wrapText="1"/>
    </xf>
    <xf numFmtId="164" fontId="14" fillId="0" borderId="0" xfId="4" applyNumberFormat="1" applyFont="1"/>
    <xf numFmtId="1" fontId="10" fillId="0" borderId="1" xfId="4" applyNumberFormat="1" applyFont="1" applyBorder="1" applyAlignment="1">
      <alignment horizontal="center" vertical="top" shrinkToFit="1"/>
    </xf>
    <xf numFmtId="0" fontId="4" fillId="0" borderId="1" xfId="4" applyFont="1" applyBorder="1" applyAlignment="1">
      <alignment horizontal="left" vertical="top" wrapText="1"/>
    </xf>
    <xf numFmtId="44" fontId="14" fillId="0" borderId="1" xfId="2" applyFont="1" applyFill="1" applyBorder="1" applyAlignment="1">
      <alignment horizontal="left" wrapText="1"/>
    </xf>
    <xf numFmtId="0" fontId="4" fillId="4" borderId="1" xfId="4" applyFont="1" applyFill="1" applyBorder="1" applyAlignment="1">
      <alignment horizontal="left" vertical="top" wrapText="1"/>
    </xf>
    <xf numFmtId="44" fontId="10" fillId="4" borderId="1" xfId="2" applyFont="1" applyFill="1" applyBorder="1" applyAlignment="1">
      <alignment horizontal="left" wrapText="1"/>
    </xf>
    <xf numFmtId="44" fontId="14" fillId="0" borderId="1" xfId="2" applyFont="1" applyFill="1" applyBorder="1" applyAlignment="1">
      <alignment horizontal="center" wrapText="1"/>
    </xf>
    <xf numFmtId="0" fontId="13" fillId="4" borderId="1" xfId="4" applyFont="1" applyFill="1" applyBorder="1" applyAlignment="1">
      <alignment horizontal="left" vertical="top" wrapText="1"/>
    </xf>
    <xf numFmtId="44" fontId="14" fillId="4" borderId="1" xfId="2" applyFont="1" applyFill="1" applyBorder="1" applyAlignment="1">
      <alignment horizontal="left" wrapText="1"/>
    </xf>
    <xf numFmtId="0" fontId="20" fillId="0" borderId="1" xfId="4" applyFont="1" applyBorder="1" applyAlignment="1">
      <alignment horizontal="left" vertical="top" wrapText="1"/>
    </xf>
    <xf numFmtId="44" fontId="14" fillId="0" borderId="1" xfId="2" applyFont="1" applyBorder="1" applyAlignment="1">
      <alignment horizontal="left" vertical="center" wrapText="1"/>
    </xf>
    <xf numFmtId="44" fontId="14" fillId="3" borderId="1" xfId="2" applyFont="1" applyFill="1" applyBorder="1" applyAlignment="1">
      <alignment horizontal="left" wrapText="1"/>
    </xf>
    <xf numFmtId="0" fontId="18" fillId="0" borderId="1" xfId="4" applyFont="1" applyBorder="1" applyAlignment="1">
      <alignment horizontal="center" vertical="top" wrapText="1"/>
    </xf>
    <xf numFmtId="0" fontId="25" fillId="0" borderId="1" xfId="4" applyFont="1" applyBorder="1" applyAlignment="1">
      <alignment horizontal="left" vertical="top" wrapText="1"/>
    </xf>
    <xf numFmtId="0" fontId="26" fillId="0" borderId="1" xfId="4" applyFont="1" applyBorder="1" applyAlignment="1">
      <alignment horizontal="left" vertical="top" wrapText="1"/>
    </xf>
    <xf numFmtId="0" fontId="2" fillId="0" borderId="1" xfId="4" applyBorder="1" applyAlignment="1">
      <alignment horizontal="left" wrapText="1"/>
    </xf>
    <xf numFmtId="0" fontId="4" fillId="3" borderId="1" xfId="4" applyFont="1" applyFill="1" applyBorder="1" applyAlignment="1">
      <alignment horizontal="left" vertical="top" wrapText="1"/>
    </xf>
    <xf numFmtId="164" fontId="2" fillId="0" borderId="0" xfId="4" applyNumberFormat="1"/>
    <xf numFmtId="0" fontId="17" fillId="0" borderId="1" xfId="4" applyFont="1" applyBorder="1" applyAlignment="1">
      <alignment horizontal="left" vertical="top" wrapText="1" indent="15"/>
    </xf>
    <xf numFmtId="44" fontId="10" fillId="0" borderId="1" xfId="2" applyFont="1" applyBorder="1" applyAlignment="1">
      <alignment horizontal="center" wrapText="1"/>
    </xf>
    <xf numFmtId="165" fontId="2" fillId="0" borderId="0" xfId="4" applyNumberFormat="1"/>
    <xf numFmtId="1" fontId="29" fillId="2" borderId="1" xfId="4" applyNumberFormat="1" applyFont="1" applyFill="1" applyBorder="1" applyAlignment="1">
      <alignment horizontal="center" vertical="top" shrinkToFit="1"/>
    </xf>
    <xf numFmtId="0" fontId="12" fillId="6" borderId="1" xfId="4" applyFont="1" applyFill="1" applyBorder="1" applyAlignment="1">
      <alignment horizontal="left" vertical="top" wrapText="1"/>
    </xf>
    <xf numFmtId="0" fontId="30" fillId="6" borderId="1" xfId="4" applyFont="1" applyFill="1" applyBorder="1" applyAlignment="1">
      <alignment horizontal="center" vertical="top" wrapText="1"/>
    </xf>
    <xf numFmtId="0" fontId="30" fillId="6" borderId="1" xfId="4" applyFont="1" applyFill="1" applyBorder="1" applyAlignment="1">
      <alignment vertical="top" wrapText="1"/>
    </xf>
    <xf numFmtId="44" fontId="29" fillId="6" borderId="1" xfId="2" applyFont="1" applyFill="1" applyBorder="1" applyAlignment="1">
      <alignment horizontal="left" wrapText="1"/>
    </xf>
    <xf numFmtId="0" fontId="16" fillId="0" borderId="1" xfId="4" applyFont="1" applyBorder="1" applyAlignment="1">
      <alignment horizontal="left" vertical="top" wrapText="1"/>
    </xf>
    <xf numFmtId="0" fontId="17" fillId="0" borderId="1" xfId="4" applyFont="1" applyBorder="1" applyAlignment="1">
      <alignment horizontal="center" vertical="top" wrapText="1"/>
    </xf>
    <xf numFmtId="0" fontId="20" fillId="0" borderId="1" xfId="4" applyFont="1" applyBorder="1" applyAlignment="1">
      <alignment vertical="top"/>
    </xf>
    <xf numFmtId="44" fontId="31" fillId="0" borderId="1" xfId="2" applyFont="1" applyFill="1" applyBorder="1" applyAlignment="1">
      <alignment horizontal="left" wrapText="1"/>
    </xf>
    <xf numFmtId="44" fontId="31" fillId="0" borderId="1" xfId="2" applyFont="1" applyFill="1" applyBorder="1" applyAlignment="1">
      <alignment horizontal="left" vertical="center" wrapText="1"/>
    </xf>
    <xf numFmtId="0" fontId="12" fillId="0" borderId="1" xfId="4" applyFont="1" applyBorder="1" applyAlignment="1">
      <alignment horizontal="left" vertical="top" wrapText="1"/>
    </xf>
    <xf numFmtId="0" fontId="16" fillId="0" borderId="1" xfId="4" applyFont="1" applyBorder="1" applyAlignment="1">
      <alignment vertical="top" wrapText="1"/>
    </xf>
    <xf numFmtId="44" fontId="32" fillId="0" borderId="1" xfId="2" applyFont="1" applyFill="1" applyBorder="1" applyAlignment="1">
      <alignment horizontal="left" wrapText="1"/>
    </xf>
    <xf numFmtId="0" fontId="30" fillId="0" borderId="1" xfId="4" applyFont="1" applyBorder="1" applyAlignment="1">
      <alignment horizontal="center" vertical="top" wrapText="1"/>
    </xf>
    <xf numFmtId="0" fontId="33" fillId="0" borderId="1" xfId="4" applyFont="1" applyBorder="1" applyAlignment="1">
      <alignment vertical="top" wrapText="1"/>
    </xf>
    <xf numFmtId="44" fontId="29" fillId="3" borderId="1" xfId="2" applyFont="1" applyFill="1" applyBorder="1" applyAlignment="1">
      <alignment horizontal="left" wrapText="1"/>
    </xf>
    <xf numFmtId="0" fontId="35" fillId="0" borderId="1" xfId="4" applyFont="1" applyBorder="1" applyAlignment="1">
      <alignment vertical="top" wrapText="1"/>
    </xf>
    <xf numFmtId="44" fontId="31" fillId="0" borderId="1" xfId="2" applyFont="1" applyBorder="1" applyAlignment="1">
      <alignment horizontal="left" wrapText="1"/>
    </xf>
    <xf numFmtId="0" fontId="17" fillId="0" borderId="1" xfId="4" applyFont="1" applyBorder="1" applyAlignment="1">
      <alignment vertical="top" wrapText="1"/>
    </xf>
    <xf numFmtId="0" fontId="20" fillId="0" borderId="1" xfId="4" applyFont="1" applyBorder="1" applyAlignment="1">
      <alignment vertical="top" wrapText="1"/>
    </xf>
    <xf numFmtId="0" fontId="14" fillId="3" borderId="1" xfId="4" applyFont="1" applyFill="1" applyBorder="1" applyAlignment="1">
      <alignment horizontal="left" wrapText="1"/>
    </xf>
    <xf numFmtId="0" fontId="13" fillId="3" borderId="1" xfId="4" applyFont="1" applyFill="1" applyBorder="1" applyAlignment="1">
      <alignment horizontal="center" vertical="top" wrapText="1"/>
    </xf>
    <xf numFmtId="0" fontId="13" fillId="4" borderId="1" xfId="4" applyFont="1" applyFill="1" applyBorder="1" applyAlignment="1">
      <alignment vertical="top" wrapText="1"/>
    </xf>
    <xf numFmtId="44" fontId="29" fillId="4" borderId="1" xfId="2" applyFont="1" applyFill="1" applyBorder="1" applyAlignment="1">
      <alignment horizontal="left" wrapText="1"/>
    </xf>
    <xf numFmtId="0" fontId="30" fillId="0" borderId="1" xfId="4" applyFont="1" applyBorder="1" applyAlignment="1">
      <alignment vertical="top" wrapText="1"/>
    </xf>
    <xf numFmtId="44" fontId="31" fillId="0" borderId="1" xfId="2" applyFont="1" applyBorder="1" applyAlignment="1">
      <alignment horizontal="left" vertical="center" wrapText="1"/>
    </xf>
    <xf numFmtId="0" fontId="12" fillId="0" borderId="2" xfId="4" applyFont="1" applyBorder="1" applyAlignment="1">
      <alignment horizontal="left" vertical="top" wrapText="1"/>
    </xf>
    <xf numFmtId="0" fontId="17" fillId="0" borderId="2" xfId="4" applyFont="1" applyBorder="1" applyAlignment="1">
      <alignment horizontal="center" vertical="top" wrapText="1"/>
    </xf>
    <xf numFmtId="0" fontId="20" fillId="0" borderId="2" xfId="4" applyFont="1" applyBorder="1" applyAlignment="1">
      <alignment vertical="top" wrapText="1"/>
    </xf>
    <xf numFmtId="0" fontId="13" fillId="3" borderId="1" xfId="4" applyFont="1" applyFill="1" applyBorder="1" applyAlignment="1">
      <alignment vertical="top" wrapText="1"/>
    </xf>
    <xf numFmtId="44" fontId="29" fillId="0" borderId="1" xfId="2" applyFont="1" applyBorder="1" applyAlignment="1">
      <alignment horizontal="left" wrapText="1"/>
    </xf>
    <xf numFmtId="0" fontId="18" fillId="3" borderId="1" xfId="4" applyFont="1" applyFill="1" applyBorder="1" applyAlignment="1">
      <alignment horizontal="left" vertical="top" wrapText="1"/>
    </xf>
    <xf numFmtId="1" fontId="29" fillId="3" borderId="1" xfId="4" applyNumberFormat="1" applyFont="1" applyFill="1" applyBorder="1" applyAlignment="1">
      <alignment horizontal="center" vertical="top" shrinkToFit="1"/>
    </xf>
    <xf numFmtId="0" fontId="4" fillId="3" borderId="1" xfId="4" applyFont="1" applyFill="1" applyBorder="1" applyAlignment="1">
      <alignment vertical="top" wrapText="1"/>
    </xf>
    <xf numFmtId="0" fontId="14" fillId="7" borderId="1" xfId="4" applyFont="1" applyFill="1" applyBorder="1" applyAlignment="1">
      <alignment horizontal="left" wrapText="1"/>
    </xf>
    <xf numFmtId="0" fontId="13" fillId="7" borderId="1" xfId="4" applyFont="1" applyFill="1" applyBorder="1" applyAlignment="1">
      <alignment horizontal="center" vertical="top" wrapText="1"/>
    </xf>
    <xf numFmtId="0" fontId="13" fillId="7" borderId="1" xfId="4" applyFont="1" applyFill="1" applyBorder="1" applyAlignment="1">
      <alignment vertical="top" wrapText="1"/>
    </xf>
    <xf numFmtId="44" fontId="29" fillId="3" borderId="1" xfId="2" applyFont="1" applyFill="1" applyBorder="1" applyAlignment="1">
      <alignment horizontal="center" wrapText="1"/>
    </xf>
    <xf numFmtId="1" fontId="29" fillId="7" borderId="1" xfId="4" applyNumberFormat="1" applyFont="1" applyFill="1" applyBorder="1" applyAlignment="1">
      <alignment horizontal="center" vertical="top" shrinkToFit="1"/>
    </xf>
    <xf numFmtId="10" fontId="29" fillId="3" borderId="1" xfId="4" applyNumberFormat="1" applyFont="1" applyFill="1" applyBorder="1" applyAlignment="1">
      <alignment horizontal="center" wrapText="1"/>
    </xf>
    <xf numFmtId="164" fontId="37" fillId="4" borderId="1" xfId="4" applyNumberFormat="1" applyFont="1" applyFill="1" applyBorder="1" applyAlignment="1">
      <alignment horizontal="center" wrapText="1"/>
    </xf>
    <xf numFmtId="44" fontId="2" fillId="0" borderId="0" xfId="4" applyNumberFormat="1"/>
    <xf numFmtId="10" fontId="2" fillId="0" borderId="0" xfId="4" applyNumberFormat="1"/>
    <xf numFmtId="0" fontId="38" fillId="0" borderId="1" xfId="4" applyFont="1" applyBorder="1" applyAlignment="1">
      <alignment horizontal="left" vertical="top" wrapText="1"/>
    </xf>
    <xf numFmtId="0" fontId="38" fillId="0" borderId="0" xfId="4" applyFont="1" applyAlignment="1">
      <alignment horizontal="left" vertical="top" wrapText="1"/>
    </xf>
    <xf numFmtId="0" fontId="3" fillId="3" borderId="1" xfId="4" applyFont="1" applyFill="1" applyBorder="1" applyAlignment="1">
      <alignment horizontal="center" vertical="top" wrapText="1"/>
    </xf>
    <xf numFmtId="0" fontId="3" fillId="3" borderId="1" xfId="4" applyFont="1" applyFill="1" applyBorder="1" applyAlignment="1">
      <alignment horizontal="left" vertical="top" wrapText="1"/>
    </xf>
    <xf numFmtId="164" fontId="31" fillId="3" borderId="1" xfId="4" applyNumberFormat="1" applyFont="1" applyFill="1" applyBorder="1" applyAlignment="1">
      <alignment horizontal="center" wrapText="1"/>
    </xf>
    <xf numFmtId="0" fontId="39" fillId="3" borderId="1" xfId="4" applyFont="1" applyFill="1" applyBorder="1" applyAlignment="1">
      <alignment horizontal="center" vertical="top" wrapText="1"/>
    </xf>
    <xf numFmtId="0" fontId="3" fillId="7" borderId="1" xfId="4" applyFont="1" applyFill="1" applyBorder="1" applyAlignment="1">
      <alignment horizontal="center" vertical="top" wrapText="1"/>
    </xf>
    <xf numFmtId="0" fontId="3" fillId="7" borderId="1" xfId="4" applyFont="1" applyFill="1" applyBorder="1" applyAlignment="1">
      <alignment horizontal="left" vertical="top" wrapText="1"/>
    </xf>
    <xf numFmtId="164" fontId="29" fillId="7" borderId="1" xfId="4" applyNumberFormat="1" applyFont="1" applyFill="1" applyBorder="1" applyAlignment="1">
      <alignment horizontal="center" wrapText="1"/>
    </xf>
    <xf numFmtId="0" fontId="31" fillId="7" borderId="1" xfId="4" applyFont="1" applyFill="1" applyBorder="1" applyAlignment="1">
      <alignment horizontal="left" wrapText="1"/>
    </xf>
    <xf numFmtId="164" fontId="29" fillId="3" borderId="1" xfId="4" applyNumberFormat="1" applyFont="1" applyFill="1" applyBorder="1" applyAlignment="1">
      <alignment horizontal="center" wrapText="1"/>
    </xf>
    <xf numFmtId="0" fontId="40" fillId="3" borderId="1" xfId="4" applyFont="1" applyFill="1" applyBorder="1" applyAlignment="1">
      <alignment horizontal="center" vertical="top" wrapText="1"/>
    </xf>
    <xf numFmtId="164" fontId="37" fillId="7" borderId="1" xfId="4" applyNumberFormat="1" applyFont="1" applyFill="1" applyBorder="1" applyAlignment="1">
      <alignment horizontal="center" wrapText="1"/>
    </xf>
    <xf numFmtId="0" fontId="39" fillId="7" borderId="1" xfId="4" applyFont="1" applyFill="1" applyBorder="1" applyAlignment="1">
      <alignment horizontal="center" vertical="top" wrapText="1"/>
    </xf>
    <xf numFmtId="0" fontId="3" fillId="8" borderId="1" xfId="4" applyFont="1" applyFill="1" applyBorder="1" applyAlignment="1">
      <alignment horizontal="center" vertical="top" wrapText="1"/>
    </xf>
    <xf numFmtId="0" fontId="3" fillId="8" borderId="1" xfId="4" applyFont="1" applyFill="1" applyBorder="1" applyAlignment="1">
      <alignment horizontal="left" vertical="top" wrapText="1"/>
    </xf>
    <xf numFmtId="0" fontId="31" fillId="8" borderId="1" xfId="4" applyFont="1" applyFill="1" applyBorder="1" applyAlignment="1">
      <alignment horizontal="left" wrapText="1"/>
    </xf>
    <xf numFmtId="0" fontId="39" fillId="8" borderId="1" xfId="4" applyFont="1" applyFill="1" applyBorder="1" applyAlignment="1">
      <alignment horizontal="center" vertical="top" wrapText="1"/>
    </xf>
    <xf numFmtId="0" fontId="31" fillId="8" borderId="1" xfId="4" applyFont="1" applyFill="1" applyBorder="1" applyAlignment="1">
      <alignment horizontal="left" vertical="center" wrapText="1"/>
    </xf>
    <xf numFmtId="0" fontId="39" fillId="8" borderId="1" xfId="4" applyFont="1" applyFill="1" applyBorder="1" applyAlignment="1">
      <alignment horizontal="center" vertical="center" wrapText="1"/>
    </xf>
    <xf numFmtId="14" fontId="2" fillId="0" borderId="0" xfId="4" applyNumberFormat="1"/>
    <xf numFmtId="44" fontId="2" fillId="0" borderId="0" xfId="2" applyFont="1"/>
    <xf numFmtId="164" fontId="29" fillId="8" borderId="1" xfId="4" applyNumberFormat="1" applyFont="1" applyFill="1" applyBorder="1" applyAlignment="1">
      <alignment horizontal="center" vertical="center" wrapText="1"/>
    </xf>
    <xf numFmtId="0" fontId="31" fillId="8" borderId="1" xfId="4" applyFont="1" applyFill="1" applyBorder="1" applyAlignment="1">
      <alignment horizontal="center" vertical="center" wrapText="1"/>
    </xf>
    <xf numFmtId="0" fontId="3" fillId="3" borderId="2" xfId="4" applyFont="1" applyFill="1" applyBorder="1" applyAlignment="1">
      <alignment horizontal="center" vertical="top" wrapText="1"/>
    </xf>
    <xf numFmtId="0" fontId="39" fillId="3" borderId="2" xfId="4" applyFont="1" applyFill="1" applyBorder="1" applyAlignment="1">
      <alignment horizontal="center" vertical="top" wrapText="1"/>
    </xf>
    <xf numFmtId="0" fontId="4" fillId="9" borderId="0" xfId="4" applyFont="1" applyFill="1" applyAlignment="1">
      <alignment horizontal="left" vertical="top" wrapText="1"/>
    </xf>
    <xf numFmtId="0" fontId="3" fillId="9" borderId="1" xfId="4" applyFont="1" applyFill="1" applyBorder="1" applyAlignment="1">
      <alignment horizontal="left" vertical="top" wrapText="1"/>
    </xf>
    <xf numFmtId="0" fontId="3" fillId="9" borderId="1" xfId="4" applyFont="1" applyFill="1" applyBorder="1" applyAlignment="1">
      <alignment horizontal="center" vertical="top" wrapText="1"/>
    </xf>
    <xf numFmtId="3" fontId="3" fillId="9" borderId="1" xfId="4" applyNumberFormat="1" applyFont="1" applyFill="1" applyBorder="1" applyAlignment="1">
      <alignment horizontal="center" vertical="top" wrapText="1"/>
    </xf>
    <xf numFmtId="0" fontId="31" fillId="0" borderId="0" xfId="4" applyFont="1"/>
    <xf numFmtId="0" fontId="39" fillId="9" borderId="1" xfId="4" applyFont="1" applyFill="1" applyBorder="1" applyAlignment="1">
      <alignment horizontal="center" vertical="center" wrapText="1"/>
    </xf>
    <xf numFmtId="10" fontId="29" fillId="7" borderId="1" xfId="4" applyNumberFormat="1" applyFont="1" applyFill="1" applyBorder="1" applyAlignment="1">
      <alignment horizontal="center" vertical="center" wrapText="1"/>
    </xf>
    <xf numFmtId="10" fontId="29" fillId="0" borderId="1" xfId="4" applyNumberFormat="1" applyFont="1" applyBorder="1" applyAlignment="1">
      <alignment horizontal="center" vertical="center" wrapText="1"/>
    </xf>
    <xf numFmtId="0" fontId="4" fillId="8" borderId="1" xfId="4" applyFont="1" applyFill="1" applyBorder="1" applyAlignment="1">
      <alignment horizontal="left" vertical="top" wrapText="1"/>
    </xf>
    <xf numFmtId="166" fontId="2" fillId="0" borderId="0" xfId="4" applyNumberFormat="1"/>
    <xf numFmtId="10" fontId="2" fillId="0" borderId="0" xfId="3" applyNumberFormat="1" applyFont="1"/>
    <xf numFmtId="0" fontId="44" fillId="0" borderId="0" xfId="0" applyFont="1" applyAlignment="1">
      <alignment vertical="center"/>
    </xf>
    <xf numFmtId="0" fontId="45" fillId="0" borderId="0" xfId="0" applyFont="1"/>
    <xf numFmtId="43" fontId="45" fillId="0" borderId="0" xfId="1" applyFont="1"/>
    <xf numFmtId="43" fontId="45" fillId="0" borderId="0" xfId="0" applyNumberFormat="1" applyFont="1"/>
    <xf numFmtId="9" fontId="45" fillId="0" borderId="0" xfId="3" applyFont="1"/>
    <xf numFmtId="0" fontId="46" fillId="10" borderId="1" xfId="0" applyFont="1" applyFill="1" applyBorder="1" applyAlignment="1">
      <alignment horizontal="center" vertical="center"/>
    </xf>
    <xf numFmtId="0" fontId="46" fillId="10" borderId="3" xfId="0" applyFont="1" applyFill="1" applyBorder="1" applyAlignment="1">
      <alignment horizontal="center" vertical="center"/>
    </xf>
    <xf numFmtId="0" fontId="48" fillId="11" borderId="4" xfId="0" applyFont="1" applyFill="1" applyBorder="1" applyAlignment="1">
      <alignment horizontal="center" vertical="center" wrapText="1"/>
    </xf>
    <xf numFmtId="42" fontId="48" fillId="11" borderId="5" xfId="0" applyNumberFormat="1" applyFont="1" applyFill="1" applyBorder="1" applyAlignment="1">
      <alignment horizontal="center" vertical="center" wrapText="1"/>
    </xf>
    <xf numFmtId="42" fontId="48" fillId="11" borderId="0" xfId="3" applyNumberFormat="1" applyFont="1" applyFill="1" applyBorder="1" applyAlignment="1">
      <alignment horizontal="right" vertical="center" wrapText="1"/>
    </xf>
    <xf numFmtId="42" fontId="48" fillId="11" borderId="0" xfId="0" applyNumberFormat="1" applyFont="1" applyFill="1" applyAlignment="1">
      <alignment horizontal="right" vertical="center" wrapText="1"/>
    </xf>
    <xf numFmtId="0" fontId="49" fillId="0" borderId="0" xfId="0" applyFont="1"/>
    <xf numFmtId="0" fontId="48" fillId="12" borderId="6" xfId="0" applyFont="1" applyFill="1" applyBorder="1" applyAlignment="1">
      <alignment horizontal="center" vertical="center" wrapText="1"/>
    </xf>
    <xf numFmtId="4" fontId="48" fillId="12" borderId="7" xfId="0" applyNumberFormat="1" applyFont="1" applyFill="1" applyBorder="1" applyAlignment="1">
      <alignment horizontal="right" vertical="center" wrapText="1"/>
    </xf>
    <xf numFmtId="4" fontId="48" fillId="12" borderId="8" xfId="0" applyNumberFormat="1" applyFont="1" applyFill="1" applyBorder="1" applyAlignment="1">
      <alignment horizontal="right" vertical="center" wrapText="1"/>
    </xf>
    <xf numFmtId="14" fontId="45" fillId="0" borderId="0" xfId="0" applyNumberFormat="1" applyFont="1"/>
    <xf numFmtId="0" fontId="48" fillId="0" borderId="4" xfId="0" applyFont="1" applyBorder="1" applyAlignment="1">
      <alignment horizontal="center" vertical="center" wrapText="1"/>
    </xf>
    <xf numFmtId="3" fontId="48" fillId="0" borderId="2" xfId="0" applyNumberFormat="1" applyFont="1" applyBorder="1" applyAlignment="1">
      <alignment horizontal="right" vertical="center" wrapText="1"/>
    </xf>
    <xf numFmtId="3" fontId="48" fillId="0" borderId="9" xfId="0" applyNumberFormat="1" applyFont="1" applyBorder="1" applyAlignment="1">
      <alignment horizontal="right" vertical="center" wrapText="1"/>
    </xf>
    <xf numFmtId="0" fontId="50" fillId="0" borderId="4" xfId="0" applyFont="1" applyBorder="1" applyAlignment="1">
      <alignment horizontal="center" vertical="center" wrapText="1"/>
    </xf>
    <xf numFmtId="3" fontId="50" fillId="0" borderId="2" xfId="0" applyNumberFormat="1" applyFont="1" applyBorder="1" applyAlignment="1">
      <alignment horizontal="right" vertical="center" wrapText="1"/>
    </xf>
    <xf numFmtId="3" fontId="50" fillId="0" borderId="9" xfId="0" applyNumberFormat="1" applyFont="1" applyBorder="1" applyAlignment="1">
      <alignment horizontal="right" vertical="center" wrapText="1"/>
    </xf>
    <xf numFmtId="0" fontId="45" fillId="0" borderId="0" xfId="0" applyFont="1" applyAlignment="1">
      <alignment horizontal="center"/>
    </xf>
    <xf numFmtId="168" fontId="45" fillId="0" borderId="0" xfId="1" applyNumberFormat="1" applyFont="1"/>
    <xf numFmtId="0" fontId="49" fillId="0" borderId="0" xfId="0" applyFont="1" applyAlignment="1">
      <alignment horizontal="center"/>
    </xf>
    <xf numFmtId="169" fontId="49" fillId="0" borderId="0" xfId="3" applyNumberFormat="1" applyFont="1"/>
    <xf numFmtId="0" fontId="51" fillId="0" borderId="10" xfId="0" applyFont="1" applyBorder="1" applyAlignment="1">
      <alignment vertical="center"/>
    </xf>
    <xf numFmtId="0" fontId="46" fillId="10" borderId="11" xfId="0" applyFont="1" applyFill="1" applyBorder="1" applyAlignment="1">
      <alignment horizontal="center" vertical="center"/>
    </xf>
    <xf numFmtId="0" fontId="52" fillId="0" borderId="12" xfId="0" applyFont="1" applyBorder="1" applyAlignment="1">
      <alignment vertical="center"/>
    </xf>
    <xf numFmtId="170" fontId="53" fillId="0" borderId="5" xfId="0" applyNumberFormat="1" applyFont="1" applyBorder="1" applyAlignment="1">
      <alignment horizontal="center"/>
    </xf>
    <xf numFmtId="170" fontId="54" fillId="0" borderId="0" xfId="1" applyNumberFormat="1" applyFont="1" applyBorder="1" applyAlignment="1">
      <alignment vertical="center"/>
    </xf>
    <xf numFmtId="0" fontId="55" fillId="13" borderId="13" xfId="0" applyFont="1" applyFill="1" applyBorder="1" applyAlignment="1">
      <alignment vertical="center"/>
    </xf>
    <xf numFmtId="170" fontId="46" fillId="13" borderId="14" xfId="0" applyNumberFormat="1" applyFont="1" applyFill="1" applyBorder="1" applyAlignment="1">
      <alignment horizontal="center"/>
    </xf>
    <xf numFmtId="170" fontId="46" fillId="13" borderId="15" xfId="0" applyNumberFormat="1" applyFont="1" applyFill="1" applyBorder="1"/>
    <xf numFmtId="170" fontId="46" fillId="13" borderId="16" xfId="0" applyNumberFormat="1" applyFont="1" applyFill="1" applyBorder="1"/>
    <xf numFmtId="0" fontId="45" fillId="0" borderId="12" xfId="0" applyFont="1" applyBorder="1"/>
    <xf numFmtId="170" fontId="52" fillId="0" borderId="0" xfId="1" applyNumberFormat="1" applyFont="1" applyBorder="1" applyAlignment="1">
      <alignment vertical="center"/>
    </xf>
    <xf numFmtId="170" fontId="52" fillId="0" borderId="0" xfId="1" applyNumberFormat="1" applyFont="1" applyFill="1" applyBorder="1" applyAlignment="1">
      <alignment vertical="center"/>
    </xf>
    <xf numFmtId="170" fontId="54" fillId="0" borderId="0" xfId="1" applyNumberFormat="1" applyFont="1" applyFill="1" applyBorder="1" applyAlignment="1">
      <alignment vertical="center"/>
    </xf>
    <xf numFmtId="0" fontId="56" fillId="14" borderId="13" xfId="0" applyFont="1" applyFill="1" applyBorder="1" applyAlignment="1">
      <alignment vertical="center"/>
    </xf>
    <xf numFmtId="170" fontId="56" fillId="14" borderId="17" xfId="1" applyNumberFormat="1" applyFont="1" applyFill="1" applyBorder="1" applyAlignment="1">
      <alignment horizontal="center" vertical="center"/>
    </xf>
    <xf numFmtId="170" fontId="56" fillId="14" borderId="18" xfId="1" applyNumberFormat="1" applyFont="1" applyFill="1" applyBorder="1" applyAlignment="1">
      <alignment vertical="center"/>
    </xf>
    <xf numFmtId="170" fontId="56" fillId="14" borderId="19" xfId="1" applyNumberFormat="1" applyFont="1" applyFill="1" applyBorder="1" applyAlignment="1">
      <alignment vertical="center"/>
    </xf>
    <xf numFmtId="170" fontId="46" fillId="13" borderId="20" xfId="0" applyNumberFormat="1" applyFont="1" applyFill="1" applyBorder="1" applyAlignment="1">
      <alignment horizontal="center"/>
    </xf>
    <xf numFmtId="170" fontId="45" fillId="0" borderId="0" xfId="0" applyNumberFormat="1" applyFont="1"/>
    <xf numFmtId="0" fontId="52" fillId="0" borderId="12" xfId="0" applyFont="1" applyBorder="1" applyAlignment="1">
      <alignment horizontal="right" vertical="center"/>
    </xf>
    <xf numFmtId="0" fontId="54" fillId="0" borderId="12" xfId="0" applyFont="1" applyBorder="1" applyAlignment="1">
      <alignment horizontal="right" vertical="center"/>
    </xf>
    <xf numFmtId="0" fontId="57" fillId="0" borderId="12" xfId="0" applyFont="1" applyBorder="1" applyAlignment="1">
      <alignment horizontal="right" vertical="center"/>
    </xf>
    <xf numFmtId="170" fontId="58" fillId="0" borderId="5" xfId="0" applyNumberFormat="1" applyFont="1" applyBorder="1" applyAlignment="1">
      <alignment horizontal="center"/>
    </xf>
    <xf numFmtId="170" fontId="57" fillId="0" borderId="0" xfId="1" applyNumberFormat="1" applyFont="1" applyBorder="1" applyAlignment="1">
      <alignment vertical="center"/>
    </xf>
    <xf numFmtId="0" fontId="59" fillId="0" borderId="0" xfId="0" applyFont="1"/>
    <xf numFmtId="0" fontId="60" fillId="0" borderId="0" xfId="4" applyFont="1"/>
    <xf numFmtId="0" fontId="61" fillId="0" borderId="0" xfId="4" applyFont="1"/>
    <xf numFmtId="2" fontId="63" fillId="15" borderId="22" xfId="4" applyNumberFormat="1" applyFont="1" applyFill="1" applyBorder="1" applyAlignment="1">
      <alignment horizontal="center" vertical="center" wrapText="1"/>
    </xf>
    <xf numFmtId="2" fontId="63" fillId="15" borderId="23" xfId="4" applyNumberFormat="1" applyFont="1" applyFill="1" applyBorder="1" applyAlignment="1">
      <alignment horizontal="left" vertical="center" wrapText="1"/>
    </xf>
    <xf numFmtId="0" fontId="63" fillId="15" borderId="23" xfId="4" applyFont="1" applyFill="1" applyBorder="1" applyAlignment="1">
      <alignment horizontal="center" vertical="center"/>
    </xf>
    <xf numFmtId="0" fontId="60" fillId="0" borderId="24" xfId="4" applyFont="1" applyBorder="1"/>
    <xf numFmtId="172" fontId="60" fillId="0" borderId="0" xfId="5" applyNumberFormat="1" applyFont="1" applyBorder="1" applyProtection="1"/>
    <xf numFmtId="0" fontId="62" fillId="0" borderId="24" xfId="4" applyFont="1" applyBorder="1"/>
    <xf numFmtId="172" fontId="62" fillId="0" borderId="0" xfId="5" applyNumberFormat="1" applyFont="1" applyBorder="1" applyProtection="1"/>
    <xf numFmtId="0" fontId="60" fillId="0" borderId="25" xfId="4" applyFont="1" applyBorder="1"/>
    <xf numFmtId="172" fontId="60" fillId="0" borderId="26" xfId="5" applyNumberFormat="1" applyFont="1" applyBorder="1" applyProtection="1"/>
    <xf numFmtId="173" fontId="60" fillId="0" borderId="26" xfId="6" applyFont="1" applyBorder="1" applyProtection="1"/>
    <xf numFmtId="0" fontId="60" fillId="0" borderId="27" xfId="4" applyFont="1" applyBorder="1"/>
    <xf numFmtId="172" fontId="60" fillId="0" borderId="28" xfId="5" applyNumberFormat="1" applyFont="1" applyBorder="1" applyProtection="1"/>
    <xf numFmtId="172" fontId="60" fillId="16" borderId="0" xfId="5" applyNumberFormat="1" applyFont="1" applyFill="1" applyBorder="1" applyProtection="1"/>
    <xf numFmtId="164" fontId="60" fillId="0" borderId="0" xfId="4" applyNumberFormat="1" applyFont="1"/>
    <xf numFmtId="172" fontId="60" fillId="16" borderId="26" xfId="5" applyNumberFormat="1" applyFont="1" applyFill="1" applyBorder="1" applyProtection="1"/>
    <xf numFmtId="172" fontId="64" fillId="16" borderId="28" xfId="5" applyNumberFormat="1" applyFont="1" applyFill="1" applyBorder="1" applyProtection="1"/>
    <xf numFmtId="172" fontId="60" fillId="0" borderId="21" xfId="4" applyNumberFormat="1" applyFont="1" applyBorder="1"/>
    <xf numFmtId="172" fontId="60" fillId="0" borderId="0" xfId="4" applyNumberFormat="1" applyFont="1"/>
    <xf numFmtId="0" fontId="60" fillId="0" borderId="26" xfId="4" applyFont="1" applyBorder="1"/>
    <xf numFmtId="172" fontId="60" fillId="16" borderId="28" xfId="5" applyNumberFormat="1" applyFont="1" applyFill="1" applyBorder="1" applyProtection="1"/>
    <xf numFmtId="0" fontId="60" fillId="0" borderId="29" xfId="4" applyFont="1" applyBorder="1"/>
    <xf numFmtId="172" fontId="60" fillId="16" borderId="30" xfId="5" applyNumberFormat="1" applyFont="1" applyFill="1" applyBorder="1" applyProtection="1"/>
    <xf numFmtId="0" fontId="60" fillId="0" borderId="29" xfId="4" applyFont="1" applyBorder="1" applyAlignment="1">
      <alignment wrapText="1"/>
    </xf>
    <xf numFmtId="172" fontId="60" fillId="0" borderId="30" xfId="5" applyNumberFormat="1" applyFont="1" applyBorder="1" applyProtection="1"/>
    <xf numFmtId="0" fontId="60" fillId="0" borderId="30" xfId="4" applyFont="1" applyBorder="1"/>
    <xf numFmtId="4" fontId="60" fillId="0" borderId="0" xfId="4" applyNumberFormat="1" applyFont="1"/>
    <xf numFmtId="174" fontId="60" fillId="0" borderId="0" xfId="4" applyNumberFormat="1" applyFont="1"/>
    <xf numFmtId="167" fontId="47" fillId="0" borderId="0" xfId="0" applyNumberFormat="1" applyFont="1"/>
    <xf numFmtId="9" fontId="45" fillId="0" borderId="0" xfId="3" applyFont="1" applyFill="1"/>
    <xf numFmtId="4" fontId="49" fillId="0" borderId="0" xfId="0" applyNumberFormat="1" applyFont="1"/>
    <xf numFmtId="169" fontId="45" fillId="0" borderId="0" xfId="3" applyNumberFormat="1" applyFont="1" applyFill="1"/>
    <xf numFmtId="10" fontId="45" fillId="0" borderId="0" xfId="0" applyNumberFormat="1" applyFont="1"/>
    <xf numFmtId="4" fontId="45" fillId="0" borderId="0" xfId="0" applyNumberFormat="1" applyFont="1"/>
    <xf numFmtId="0" fontId="45" fillId="0" borderId="0" xfId="0" quotePrefix="1" applyFont="1"/>
    <xf numFmtId="0" fontId="3" fillId="0" borderId="0" xfId="4" applyFont="1" applyAlignment="1">
      <alignment horizontal="center" vertical="top" wrapText="1"/>
    </xf>
    <xf numFmtId="0" fontId="4" fillId="0" borderId="0" xfId="4" applyFont="1" applyAlignment="1">
      <alignment horizontal="center" vertical="center" wrapText="1"/>
    </xf>
    <xf numFmtId="0" fontId="4" fillId="2" borderId="1" xfId="4" applyFont="1" applyFill="1" applyBorder="1" applyAlignment="1">
      <alignment horizontal="left" vertical="top" wrapText="1"/>
    </xf>
    <xf numFmtId="0" fontId="9" fillId="2" borderId="1" xfId="4" applyFont="1" applyFill="1" applyBorder="1" applyAlignment="1">
      <alignment horizontal="center" vertical="top" wrapText="1"/>
    </xf>
    <xf numFmtId="0" fontId="9" fillId="2" borderId="1" xfId="4" applyFont="1" applyFill="1" applyBorder="1" applyAlignment="1">
      <alignment horizontal="center" vertical="center" wrapText="1"/>
    </xf>
    <xf numFmtId="0" fontId="4" fillId="5" borderId="0" xfId="4" applyFont="1" applyFill="1" applyAlignment="1">
      <alignment horizontal="center" vertical="center" wrapText="1" indent="1"/>
    </xf>
    <xf numFmtId="0" fontId="13" fillId="2" borderId="1" xfId="4" applyFont="1" applyFill="1" applyBorder="1" applyAlignment="1">
      <alignment horizontal="center" vertical="top" wrapText="1"/>
    </xf>
    <xf numFmtId="0" fontId="13" fillId="2" borderId="1" xfId="4" applyFont="1" applyFill="1" applyBorder="1" applyAlignment="1">
      <alignment horizontal="center" vertical="center" wrapText="1"/>
    </xf>
    <xf numFmtId="0" fontId="41" fillId="8" borderId="1" xfId="4" applyFont="1" applyFill="1" applyBorder="1" applyAlignment="1">
      <alignment horizontal="center" vertical="top" wrapText="1"/>
    </xf>
    <xf numFmtId="0" fontId="4" fillId="0" borderId="0" xfId="4" applyFont="1" applyAlignment="1">
      <alignment horizontal="center" vertical="center" wrapText="1" indent="1"/>
    </xf>
    <xf numFmtId="0" fontId="3" fillId="2" borderId="1" xfId="4" applyFont="1" applyFill="1" applyBorder="1" applyAlignment="1">
      <alignment horizontal="center" vertical="top" wrapText="1"/>
    </xf>
    <xf numFmtId="0" fontId="3" fillId="2" borderId="1" xfId="4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left" vertical="top" wrapText="1" indent="1"/>
    </xf>
    <xf numFmtId="0" fontId="38" fillId="0" borderId="1" xfId="4" applyFont="1" applyBorder="1" applyAlignment="1">
      <alignment horizontal="left" vertical="top" wrapText="1"/>
    </xf>
    <xf numFmtId="0" fontId="39" fillId="8" borderId="1" xfId="4" applyFont="1" applyFill="1" applyBorder="1" applyAlignment="1">
      <alignment horizontal="center" vertical="top" wrapText="1"/>
    </xf>
    <xf numFmtId="0" fontId="4" fillId="9" borderId="1" xfId="4" applyFont="1" applyFill="1" applyBorder="1" applyAlignment="1">
      <alignment horizontal="left" vertical="top" wrapText="1"/>
    </xf>
    <xf numFmtId="0" fontId="24" fillId="0" borderId="0" xfId="4" applyFont="1" applyAlignment="1">
      <alignment horizontal="left" vertical="top" wrapText="1"/>
    </xf>
    <xf numFmtId="0" fontId="31" fillId="8" borderId="1" xfId="4" applyFont="1" applyFill="1" applyBorder="1" applyAlignment="1">
      <alignment horizontal="left" wrapText="1"/>
    </xf>
    <xf numFmtId="0" fontId="43" fillId="0" borderId="0" xfId="4" applyFont="1" applyAlignment="1">
      <alignment horizontal="left" vertical="top" wrapText="1"/>
    </xf>
    <xf numFmtId="0" fontId="62" fillId="0" borderId="21" xfId="4" applyFont="1" applyBorder="1" applyAlignment="1">
      <alignment horizontal="center"/>
    </xf>
    <xf numFmtId="0" fontId="62" fillId="0" borderId="27" xfId="4" applyFont="1" applyBorder="1" applyAlignment="1">
      <alignment horizontal="center"/>
    </xf>
    <xf numFmtId="0" fontId="62" fillId="0" borderId="28" xfId="4" applyFont="1" applyBorder="1" applyAlignment="1">
      <alignment horizontal="center"/>
    </xf>
    <xf numFmtId="0" fontId="62" fillId="0" borderId="0" xfId="4" applyFont="1" applyAlignment="1">
      <alignment horizontal="center"/>
    </xf>
  </cellXfs>
  <cellStyles count="7">
    <cellStyle name="Comma 3" xfId="5" xr:uid="{07E889E4-AFF9-4BA0-B3EE-9102A8052B03}"/>
    <cellStyle name="Currency 3" xfId="6" xr:uid="{BCC6FE33-8A5A-4322-B71E-325B7476F358}"/>
    <cellStyle name="Migliaia" xfId="1" builtinId="3"/>
    <cellStyle name="Normal 3" xfId="4" xr:uid="{55F188CE-8844-44D4-B1B1-5CD76E5F2891}"/>
    <cellStyle name="Normale" xfId="0" builtinId="0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34925</xdr:colOff>
      <xdr:row>39</xdr:row>
      <xdr:rowOff>25400</xdr:rowOff>
    </xdr:from>
    <xdr:to>
      <xdr:col>5</xdr:col>
      <xdr:colOff>352218</xdr:colOff>
      <xdr:row>82</xdr:row>
      <xdr:rowOff>67745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A241CE7-91F8-4681-8E24-D2267F98E9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49525" y="13087350"/>
          <a:ext cx="6635543" cy="78179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1440</xdr:colOff>
      <xdr:row>28</xdr:row>
      <xdr:rowOff>307080</xdr:rowOff>
    </xdr:from>
    <xdr:to>
      <xdr:col>9</xdr:col>
      <xdr:colOff>5400</xdr:colOff>
      <xdr:row>28</xdr:row>
      <xdr:rowOff>309240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800C4F1D-109E-475A-BFE1-86C7B18D8BB5}"/>
            </a:ext>
          </a:extLst>
        </xdr:cNvPr>
        <xdr:cNvSpPr/>
      </xdr:nvSpPr>
      <xdr:spPr>
        <a:xfrm>
          <a:off x="14050815" y="11841855"/>
          <a:ext cx="7135" cy="5335"/>
        </a:xfrm>
        <a:custGeom>
          <a:avLst/>
          <a:gdLst/>
          <a:ahLst/>
          <a:cxnLst/>
          <a:rect l="l" t="t" r="r" b="b"/>
          <a:pathLst>
            <a:path w="22860" h="6350">
              <a:moveTo>
                <a:pt x="22859" y="6096"/>
              </a:moveTo>
              <a:lnTo>
                <a:pt x="0" y="6096"/>
              </a:lnTo>
              <a:lnTo>
                <a:pt x="0" y="0"/>
              </a:lnTo>
              <a:lnTo>
                <a:pt x="22859" y="0"/>
              </a:lnTo>
              <a:lnTo>
                <a:pt x="22859" y="6096"/>
              </a:lnTo>
              <a:close/>
            </a:path>
          </a:pathLst>
        </a:custGeom>
        <a:solidFill>
          <a:srgbClr val="000000">
            <a:alpha val="50000"/>
          </a:srgb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5A74E-9652-4CE1-9F35-34E2D5892C3A}">
  <sheetPr>
    <tabColor theme="1"/>
  </sheetPr>
  <dimension ref="A1"/>
  <sheetViews>
    <sheetView showGridLines="0" workbookViewId="0">
      <selection activeCell="J22" sqref="J22"/>
    </sheetView>
  </sheetViews>
  <sheetFormatPr defaultRowHeight="15" x14ac:dyDescent="0.25"/>
  <sheetData/>
  <pageMargins left="0.7" right="0.7" top="0.75" bottom="0.75" header="0.3" footer="0.3"/>
  <headerFooter>
    <oddFooter>&amp;L_x000D_&amp;1#&amp;"Aptos"&amp;8&amp;K000000 LIMITED SHARING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E53DB-5A6B-4C76-A4C4-C766CB362A4D}">
  <sheetPr>
    <tabColor rgb="FF006600"/>
  </sheetPr>
  <dimension ref="A1:K44"/>
  <sheetViews>
    <sheetView topLeftCell="A27" zoomScale="75" zoomScaleNormal="75" workbookViewId="0">
      <selection activeCell="K12" sqref="K12"/>
    </sheetView>
  </sheetViews>
  <sheetFormatPr defaultColWidth="11.7109375" defaultRowHeight="15" x14ac:dyDescent="0.25"/>
  <cols>
    <col min="1" max="1" width="17.5703125" style="1" customWidth="1"/>
    <col min="2" max="2" width="11.7109375" style="1"/>
    <col min="3" max="3" width="57.85546875" style="1" customWidth="1"/>
    <col min="4" max="4" width="15" style="1" customWidth="1"/>
    <col min="5" max="5" width="15.5703125" style="1" customWidth="1"/>
    <col min="6" max="6" width="16.42578125" style="1" customWidth="1"/>
    <col min="7" max="7" width="17.28515625" style="1" customWidth="1"/>
    <col min="8" max="8" width="16.140625" style="1" customWidth="1"/>
    <col min="9" max="10" width="15.7109375" style="1" customWidth="1"/>
    <col min="11" max="11" width="15.42578125" style="1" customWidth="1"/>
    <col min="12" max="16384" width="11.7109375" style="1"/>
  </cols>
  <sheetData>
    <row r="1" spans="1:11" ht="17.45" customHeight="1" x14ac:dyDescent="0.25">
      <c r="A1" s="204" t="s">
        <v>0</v>
      </c>
      <c r="B1" s="204"/>
      <c r="C1" s="204"/>
      <c r="D1" s="204"/>
      <c r="E1" s="204"/>
      <c r="F1" s="204"/>
      <c r="G1" s="204"/>
      <c r="H1" s="204"/>
    </row>
    <row r="2" spans="1:11" ht="56.45" customHeight="1" x14ac:dyDescent="0.25">
      <c r="A2" s="205" t="s">
        <v>1</v>
      </c>
      <c r="B2" s="205"/>
      <c r="C2" s="205"/>
      <c r="D2" s="205"/>
      <c r="E2" s="205"/>
      <c r="F2" s="205"/>
      <c r="G2" s="205"/>
      <c r="H2" s="205"/>
      <c r="I2" s="205"/>
      <c r="J2" s="205"/>
    </row>
    <row r="3" spans="1:11" ht="15" customHeight="1" x14ac:dyDescent="0.25">
      <c r="A3" s="206" t="s">
        <v>2</v>
      </c>
      <c r="B3" s="207" t="s">
        <v>3</v>
      </c>
      <c r="C3" s="207"/>
      <c r="D3" s="208" t="s">
        <v>4</v>
      </c>
      <c r="E3" s="208"/>
      <c r="F3" s="208"/>
      <c r="G3" s="208"/>
      <c r="H3" s="208"/>
      <c r="I3" s="208"/>
      <c r="J3" s="208"/>
    </row>
    <row r="4" spans="1:11" ht="15.75" x14ac:dyDescent="0.25">
      <c r="A4" s="206"/>
      <c r="B4" s="207"/>
      <c r="C4" s="207"/>
      <c r="D4" s="2">
        <v>1</v>
      </c>
      <c r="E4" s="2">
        <v>2</v>
      </c>
      <c r="F4" s="2">
        <v>3</v>
      </c>
      <c r="G4" s="2">
        <v>4</v>
      </c>
      <c r="H4" s="2">
        <v>5</v>
      </c>
      <c r="I4" s="2">
        <v>6</v>
      </c>
      <c r="J4" s="2">
        <v>7</v>
      </c>
    </row>
    <row r="5" spans="1:11" ht="22.5" x14ac:dyDescent="0.25">
      <c r="A5" s="3" t="s">
        <v>5</v>
      </c>
      <c r="B5" s="4" t="s">
        <v>6</v>
      </c>
      <c r="C5" s="5" t="s">
        <v>7</v>
      </c>
      <c r="D5" s="6"/>
      <c r="E5" s="6"/>
      <c r="F5" s="6"/>
      <c r="G5" s="6"/>
      <c r="H5" s="6"/>
      <c r="I5" s="6"/>
      <c r="J5" s="6"/>
    </row>
    <row r="6" spans="1:11" ht="27" customHeight="1" x14ac:dyDescent="0.25">
      <c r="A6" s="7" t="s">
        <v>8</v>
      </c>
      <c r="B6" s="8" t="s">
        <v>9</v>
      </c>
      <c r="C6" s="9" t="s">
        <v>10</v>
      </c>
      <c r="D6" s="10">
        <f>'EBIT &amp; Costi interni AT'!D16</f>
        <v>2256.1643835616442</v>
      </c>
      <c r="E6" s="10">
        <f>'EBIT &amp; Costi interni AT'!E16</f>
        <v>4500</v>
      </c>
      <c r="F6" s="10">
        <f>'EBIT &amp; Costi interni AT'!F16</f>
        <v>4500</v>
      </c>
      <c r="G6" s="10">
        <f>'EBIT &amp; Costi interni AT'!G16</f>
        <v>4500</v>
      </c>
      <c r="H6" s="10">
        <f>'EBIT &amp; Costi interni AT'!H16</f>
        <v>4500</v>
      </c>
      <c r="I6" s="10">
        <f>'EBIT &amp; Costi interni AT'!I16</f>
        <v>4500</v>
      </c>
      <c r="J6" s="10">
        <f>'EBIT &amp; Costi interni AT'!J16</f>
        <v>3000</v>
      </c>
    </row>
    <row r="7" spans="1:11" ht="37.5" x14ac:dyDescent="0.25">
      <c r="A7" s="7" t="s">
        <v>11</v>
      </c>
      <c r="B7" s="8" t="s">
        <v>12</v>
      </c>
      <c r="C7" s="9" t="s">
        <v>13</v>
      </c>
      <c r="D7" s="11">
        <v>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</row>
    <row r="8" spans="1:11" ht="22.5" x14ac:dyDescent="0.25">
      <c r="A8" s="7" t="s">
        <v>14</v>
      </c>
      <c r="B8" s="8" t="s">
        <v>15</v>
      </c>
      <c r="C8" s="9" t="s">
        <v>16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</row>
    <row r="9" spans="1:11" ht="33.75" x14ac:dyDescent="0.25">
      <c r="A9" s="3" t="s">
        <v>17</v>
      </c>
      <c r="B9" s="4" t="s">
        <v>18</v>
      </c>
      <c r="C9" s="5" t="s">
        <v>19</v>
      </c>
      <c r="D9" s="10">
        <f>'EBIT &amp; Costi interni AT'!D19+'EBIT &amp; Costi interni AT'!D20</f>
        <v>5579.0974122603639</v>
      </c>
      <c r="E9" s="10">
        <f>'EBIT &amp; Costi interni AT'!E19+'EBIT &amp; Costi interni AT'!E20</f>
        <v>11127.707953415478</v>
      </c>
      <c r="F9" s="10">
        <f>'EBIT &amp; Costi interni AT'!F19+'EBIT &amp; Costi interni AT'!F20</f>
        <v>11127.707953415478</v>
      </c>
      <c r="G9" s="10">
        <f>'EBIT &amp; Costi interni AT'!G19+'EBIT &amp; Costi interni AT'!G20</f>
        <v>11127.707953415478</v>
      </c>
      <c r="H9" s="10">
        <f>'EBIT &amp; Costi interni AT'!H19+'EBIT &amp; Costi interni AT'!H20</f>
        <v>11127.707953415478</v>
      </c>
      <c r="I9" s="10">
        <f>'EBIT &amp; Costi interni AT'!I19+'EBIT &amp; Costi interni AT'!I20</f>
        <v>11127.707953415478</v>
      </c>
      <c r="J9" s="10">
        <f>'EBIT &amp; Costi interni AT'!J19+'EBIT &amp; Costi interni AT'!J20</f>
        <v>7418.4719689436515</v>
      </c>
    </row>
    <row r="10" spans="1:11" ht="21.75" customHeight="1" x14ac:dyDescent="0.25">
      <c r="A10" s="12"/>
      <c r="B10" s="13" t="s">
        <v>20</v>
      </c>
      <c r="C10" s="14" t="s">
        <v>21</v>
      </c>
      <c r="D10" s="15">
        <f t="shared" ref="D10:I10" si="0">SUM(D6:D9)</f>
        <v>7835.261795822008</v>
      </c>
      <c r="E10" s="15">
        <f t="shared" si="0"/>
        <v>15627.707953415478</v>
      </c>
      <c r="F10" s="15">
        <f t="shared" si="0"/>
        <v>15627.707953415478</v>
      </c>
      <c r="G10" s="15">
        <f t="shared" si="0"/>
        <v>15627.707953415478</v>
      </c>
      <c r="H10" s="15">
        <f t="shared" si="0"/>
        <v>15627.707953415478</v>
      </c>
      <c r="I10" s="15">
        <f t="shared" si="0"/>
        <v>15627.707953415478</v>
      </c>
      <c r="J10" s="15">
        <f t="shared" ref="J10" si="1">SUM(J6:J9)</f>
        <v>10418.471968943652</v>
      </c>
      <c r="K10" s="16">
        <f>SUM(D10:J10)</f>
        <v>96392.27353184305</v>
      </c>
    </row>
    <row r="11" spans="1:11" ht="27.2" customHeight="1" x14ac:dyDescent="0.25">
      <c r="A11" s="3" t="s">
        <v>14</v>
      </c>
      <c r="B11" s="17">
        <v>2</v>
      </c>
      <c r="C11" s="18" t="s">
        <v>22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6">
        <f>SUM(D11:J11)</f>
        <v>0</v>
      </c>
    </row>
    <row r="12" spans="1:11" ht="24.75" customHeight="1" x14ac:dyDescent="0.25">
      <c r="A12" s="3" t="s">
        <v>23</v>
      </c>
      <c r="B12" s="4" t="s">
        <v>24</v>
      </c>
      <c r="C12" s="20" t="s">
        <v>25</v>
      </c>
      <c r="D12" s="21">
        <f>SUM(D13:D17)</f>
        <v>37738.666305766135</v>
      </c>
      <c r="E12" s="21">
        <f t="shared" ref="E12:J12" si="2">SUM(E13:E17)</f>
        <v>76579.033380268782</v>
      </c>
      <c r="F12" s="21">
        <f t="shared" si="2"/>
        <v>77910.093090986906</v>
      </c>
      <c r="G12" s="21">
        <f t="shared" si="2"/>
        <v>79264.706025279011</v>
      </c>
      <c r="H12" s="21">
        <f t="shared" si="2"/>
        <v>80643.296307665791</v>
      </c>
      <c r="I12" s="21">
        <f t="shared" si="2"/>
        <v>82046.295826977075</v>
      </c>
      <c r="J12" s="21">
        <f t="shared" si="2"/>
        <v>55649.429587099934</v>
      </c>
    </row>
    <row r="13" spans="1:11" ht="18.75" x14ac:dyDescent="0.25">
      <c r="A13" s="7" t="s">
        <v>26</v>
      </c>
      <c r="B13" s="8" t="s">
        <v>27</v>
      </c>
      <c r="C13" s="9" t="s">
        <v>28</v>
      </c>
      <c r="D13" s="10">
        <f>'EBIT &amp; Costi interni AT'!D39</f>
        <v>16492.686986301371</v>
      </c>
      <c r="E13" s="10">
        <f>'EBIT &amp; Costi interni AT'!E39</f>
        <v>33398.547325</v>
      </c>
      <c r="F13" s="10">
        <f>'EBIT &amp; Costi interni AT'!F39</f>
        <v>33909.5450990725</v>
      </c>
      <c r="G13" s="10">
        <f>'EBIT &amp; Costi interni AT'!G39</f>
        <v>34428.361139088316</v>
      </c>
      <c r="H13" s="10">
        <f>'EBIT &amp; Costi interni AT'!H39</f>
        <v>34955.115064516373</v>
      </c>
      <c r="I13" s="10">
        <f>'EBIT &amp; Costi interni AT'!I39</f>
        <v>35489.928325003479</v>
      </c>
      <c r="J13" s="10">
        <f>'EBIT &amp; Costi interni AT'!J39</f>
        <v>24021.94948558402</v>
      </c>
    </row>
    <row r="14" spans="1:11" ht="18.75" x14ac:dyDescent="0.25">
      <c r="A14" s="7" t="s">
        <v>29</v>
      </c>
      <c r="B14" s="8" t="s">
        <v>30</v>
      </c>
      <c r="C14" s="9" t="s">
        <v>31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</row>
    <row r="15" spans="1:11" ht="22.5" x14ac:dyDescent="0.25">
      <c r="A15" s="7" t="s">
        <v>14</v>
      </c>
      <c r="B15" s="8" t="s">
        <v>32</v>
      </c>
      <c r="C15" s="9" t="s">
        <v>33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</row>
    <row r="16" spans="1:11" ht="37.5" x14ac:dyDescent="0.25">
      <c r="A16" s="7" t="s">
        <v>34</v>
      </c>
      <c r="B16" s="8" t="s">
        <v>35</v>
      </c>
      <c r="C16" s="9" t="s">
        <v>36</v>
      </c>
      <c r="D16" s="10">
        <f>SUM('EBIT &amp; Costi interni AT'!D40:D42)</f>
        <v>19588.481811760965</v>
      </c>
      <c r="E16" s="10">
        <f>SUM('EBIT &amp; Costi interni AT'!E40:E42)</f>
        <v>39823.967557216012</v>
      </c>
      <c r="F16" s="10">
        <f>SUM('EBIT &amp; Costi interni AT'!F40:F42)</f>
        <v>40592.674760841415</v>
      </c>
      <c r="G16" s="10">
        <f>SUM('EBIT &amp; Costi interni AT'!G40:G42)</f>
        <v>41376.331194682294</v>
      </c>
      <c r="H16" s="10">
        <f>SUM('EBIT &amp; Costi interni AT'!H40:H42)</f>
        <v>42175.229342160936</v>
      </c>
      <c r="I16" s="10">
        <f>SUM('EBIT &amp; Costi interni AT'!I40:I42)</f>
        <v>42989.667436899996</v>
      </c>
      <c r="J16" s="10">
        <f>SUM('EBIT &amp; Costi interni AT'!J40:J42)</f>
        <v>29213.299717469767</v>
      </c>
    </row>
    <row r="17" spans="1:10" ht="22.5" x14ac:dyDescent="0.25">
      <c r="A17" s="7" t="s">
        <v>37</v>
      </c>
      <c r="B17" s="8" t="s">
        <v>38</v>
      </c>
      <c r="C17" s="9" t="s">
        <v>16</v>
      </c>
      <c r="D17" s="22">
        <f>SUM('EBIT &amp; Costi interni AT'!D43:D45)</f>
        <v>1657.4975077037961</v>
      </c>
      <c r="E17" s="22">
        <f>SUM('EBIT &amp; Costi interni AT'!E43:E45)</f>
        <v>3356.5184980527729</v>
      </c>
      <c r="F17" s="22">
        <f>SUM('EBIT &amp; Costi interni AT'!F43:F45)</f>
        <v>3407.8732310729806</v>
      </c>
      <c r="G17" s="22">
        <f>SUM('EBIT &amp; Costi interni AT'!G43:G45)</f>
        <v>3460.0136915083976</v>
      </c>
      <c r="H17" s="22">
        <f>SUM('EBIT &amp; Costi interni AT'!H43:H45)</f>
        <v>3512.9519009884762</v>
      </c>
      <c r="I17" s="22">
        <f>SUM('EBIT &amp; Costi interni AT'!I43:I45)</f>
        <v>3566.7000650736004</v>
      </c>
      <c r="J17" s="22">
        <f>SUM('EBIT &amp; Costi interni AT'!J43:J45)</f>
        <v>2414.1803840461512</v>
      </c>
    </row>
    <row r="18" spans="1:10" ht="18.75" x14ac:dyDescent="0.25">
      <c r="A18" s="3" t="s">
        <v>39</v>
      </c>
      <c r="B18" s="4" t="s">
        <v>40</v>
      </c>
      <c r="C18" s="23" t="s">
        <v>41</v>
      </c>
      <c r="D18" s="24">
        <f t="shared" ref="D18:J18" si="3">D19+D20+D21</f>
        <v>29410.622474110052</v>
      </c>
      <c r="E18" s="24">
        <f t="shared" si="3"/>
        <v>59558.03729102097</v>
      </c>
      <c r="F18" s="24">
        <f t="shared" si="3"/>
        <v>60469.275261573588</v>
      </c>
      <c r="G18" s="24">
        <f t="shared" si="3"/>
        <v>61394.455173075672</v>
      </c>
      <c r="H18" s="24">
        <f t="shared" si="3"/>
        <v>62333.790337223734</v>
      </c>
      <c r="I18" s="24">
        <f t="shared" si="3"/>
        <v>63287.497329383259</v>
      </c>
      <c r="J18" s="24">
        <f t="shared" si="3"/>
        <v>42837.197359015219</v>
      </c>
    </row>
    <row r="19" spans="1:10" ht="18.75" x14ac:dyDescent="0.25">
      <c r="A19" s="7" t="s">
        <v>42</v>
      </c>
      <c r="B19" s="8" t="s">
        <v>43</v>
      </c>
      <c r="C19" s="9" t="s">
        <v>44</v>
      </c>
      <c r="D19" s="10">
        <f>'EBIT &amp; Costi interni AT'!D53</f>
        <v>0</v>
      </c>
      <c r="E19" s="10">
        <f>'EBIT &amp; Costi interni AT'!E53</f>
        <v>0</v>
      </c>
      <c r="F19" s="10">
        <f>'EBIT &amp; Costi interni AT'!F53</f>
        <v>0</v>
      </c>
      <c r="G19" s="10">
        <f>'EBIT &amp; Costi interni AT'!G53</f>
        <v>0</v>
      </c>
      <c r="H19" s="10">
        <f>'EBIT &amp; Costi interni AT'!H53</f>
        <v>0</v>
      </c>
      <c r="I19" s="10">
        <f>'EBIT &amp; Costi interni AT'!I53</f>
        <v>0</v>
      </c>
      <c r="J19" s="10">
        <f>'EBIT &amp; Costi interni AT'!J53</f>
        <v>0</v>
      </c>
    </row>
    <row r="20" spans="1:10" ht="18.75" x14ac:dyDescent="0.25">
      <c r="A20" s="7" t="s">
        <v>45</v>
      </c>
      <c r="B20" s="8" t="s">
        <v>46</v>
      </c>
      <c r="C20" s="9" t="s">
        <v>47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</row>
    <row r="21" spans="1:10" ht="22.5" x14ac:dyDescent="0.25">
      <c r="A21" s="7" t="s">
        <v>48</v>
      </c>
      <c r="B21" s="8" t="s">
        <v>49</v>
      </c>
      <c r="C21" s="9" t="s">
        <v>16</v>
      </c>
      <c r="D21" s="10">
        <f>SUM('EBIT &amp; Costi interni AT'!D50:D63)</f>
        <v>29410.622474110052</v>
      </c>
      <c r="E21" s="10">
        <f>SUM('EBIT &amp; Costi interni AT'!E50:E63)</f>
        <v>59558.03729102097</v>
      </c>
      <c r="F21" s="10">
        <f>SUM('EBIT &amp; Costi interni AT'!F50:F63)</f>
        <v>60469.275261573588</v>
      </c>
      <c r="G21" s="10">
        <f>SUM('EBIT &amp; Costi interni AT'!G50:G63)</f>
        <v>61394.455173075672</v>
      </c>
      <c r="H21" s="10">
        <f>SUM('EBIT &amp; Costi interni AT'!H50:H63)</f>
        <v>62333.790337223734</v>
      </c>
      <c r="I21" s="10">
        <f>SUM('EBIT &amp; Costi interni AT'!I50:I63)</f>
        <v>63287.497329383259</v>
      </c>
      <c r="J21" s="10">
        <f>SUM('EBIT &amp; Costi interni AT'!J50:J63)</f>
        <v>42837.197359015219</v>
      </c>
    </row>
    <row r="22" spans="1:10" ht="18.75" x14ac:dyDescent="0.25">
      <c r="A22" s="3" t="s">
        <v>50</v>
      </c>
      <c r="B22" s="4" t="s">
        <v>51</v>
      </c>
      <c r="C22" s="23" t="s">
        <v>52</v>
      </c>
      <c r="D22" s="21">
        <f t="shared" ref="D22:J22" si="4">D23+D24+D25</f>
        <v>0</v>
      </c>
      <c r="E22" s="21">
        <f t="shared" si="4"/>
        <v>0</v>
      </c>
      <c r="F22" s="21">
        <f t="shared" si="4"/>
        <v>0</v>
      </c>
      <c r="G22" s="21">
        <f t="shared" si="4"/>
        <v>0</v>
      </c>
      <c r="H22" s="21">
        <f t="shared" si="4"/>
        <v>0</v>
      </c>
      <c r="I22" s="21">
        <f t="shared" si="4"/>
        <v>0</v>
      </c>
      <c r="J22" s="21">
        <f t="shared" si="4"/>
        <v>0</v>
      </c>
    </row>
    <row r="23" spans="1:10" ht="25.5" x14ac:dyDescent="0.25">
      <c r="A23" s="7" t="s">
        <v>53</v>
      </c>
      <c r="B23" s="8" t="s">
        <v>54</v>
      </c>
      <c r="C23" s="25" t="s">
        <v>55</v>
      </c>
      <c r="D23" s="26">
        <f>'EBIT &amp; Costi interni AT'!D71</f>
        <v>0</v>
      </c>
      <c r="E23" s="26">
        <f>'EBIT &amp; Costi interni AT'!E71</f>
        <v>0</v>
      </c>
      <c r="F23" s="26">
        <f>'EBIT &amp; Costi interni AT'!F71</f>
        <v>0</v>
      </c>
      <c r="G23" s="26">
        <f>'EBIT &amp; Costi interni AT'!G71</f>
        <v>0</v>
      </c>
      <c r="H23" s="26">
        <f>'EBIT &amp; Costi interni AT'!H71</f>
        <v>0</v>
      </c>
      <c r="I23" s="26">
        <f>'EBIT &amp; Costi interni AT'!I71</f>
        <v>0</v>
      </c>
      <c r="J23" s="26">
        <f>'EBIT &amp; Costi interni AT'!J71</f>
        <v>0</v>
      </c>
    </row>
    <row r="24" spans="1:10" ht="45" x14ac:dyDescent="0.25">
      <c r="A24" s="7" t="s">
        <v>56</v>
      </c>
      <c r="B24" s="8" t="s">
        <v>57</v>
      </c>
      <c r="C24" s="9" t="s">
        <v>58</v>
      </c>
      <c r="D24" s="6">
        <f>SUM('EBIT &amp; Costi interni AT'!D72:D73)</f>
        <v>0</v>
      </c>
      <c r="E24" s="6">
        <f>SUM('EBIT &amp; Costi interni AT'!E72:E73)</f>
        <v>0</v>
      </c>
      <c r="F24" s="6">
        <f>SUM('EBIT &amp; Costi interni AT'!F72:F73)</f>
        <v>0</v>
      </c>
      <c r="G24" s="6">
        <f>SUM('EBIT &amp; Costi interni AT'!G72:G73)</f>
        <v>0</v>
      </c>
      <c r="H24" s="6">
        <f>SUM('EBIT &amp; Costi interni AT'!H72:H73)</f>
        <v>0</v>
      </c>
      <c r="I24" s="6">
        <f>SUM('EBIT &amp; Costi interni AT'!I72:I73)</f>
        <v>0</v>
      </c>
      <c r="J24" s="6">
        <f>SUM('EBIT &amp; Costi interni AT'!J72:J73)</f>
        <v>0</v>
      </c>
    </row>
    <row r="25" spans="1:10" ht="22.5" x14ac:dyDescent="0.25">
      <c r="A25" s="7" t="s">
        <v>59</v>
      </c>
      <c r="B25" s="8" t="s">
        <v>60</v>
      </c>
      <c r="C25" s="9" t="s">
        <v>16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</row>
    <row r="26" spans="1:10" ht="18.75" x14ac:dyDescent="0.25">
      <c r="A26" s="3" t="s">
        <v>61</v>
      </c>
      <c r="B26" s="4" t="s">
        <v>62</v>
      </c>
      <c r="C26" s="23" t="s">
        <v>63</v>
      </c>
      <c r="D26" s="21">
        <f t="shared" ref="D26:J26" si="5">D27+D28+D29</f>
        <v>73467.731506849334</v>
      </c>
      <c r="E26" s="21">
        <f t="shared" si="5"/>
        <v>149098.34500000003</v>
      </c>
      <c r="F26" s="21">
        <f t="shared" si="5"/>
        <v>151707.56603750002</v>
      </c>
      <c r="G26" s="21">
        <f t="shared" si="5"/>
        <v>154362.44844315629</v>
      </c>
      <c r="H26" s="21">
        <f t="shared" si="5"/>
        <v>157063.79129091153</v>
      </c>
      <c r="I26" s="21">
        <f t="shared" si="5"/>
        <v>159812.40763850248</v>
      </c>
      <c r="J26" s="21">
        <f t="shared" si="5"/>
        <v>108406.08318145084</v>
      </c>
    </row>
    <row r="27" spans="1:10" ht="15.75" x14ac:dyDescent="0.25">
      <c r="A27" s="7" t="s">
        <v>64</v>
      </c>
      <c r="B27" s="8" t="s">
        <v>65</v>
      </c>
      <c r="C27" s="25" t="s">
        <v>66</v>
      </c>
      <c r="D27" s="26">
        <f>'EBIT &amp; Costi interni AT'!D29</f>
        <v>68092.043835616452</v>
      </c>
      <c r="E27" s="26">
        <f>'EBIT &amp; Costi interni AT'!E29</f>
        <v>138188.71000000002</v>
      </c>
      <c r="F27" s="26">
        <f>'EBIT &amp; Costi interni AT'!F29</f>
        <v>140607.01242500002</v>
      </c>
      <c r="G27" s="26">
        <f>'EBIT &amp; Costi interni AT'!G29</f>
        <v>143067.63514243753</v>
      </c>
      <c r="H27" s="26">
        <f>'EBIT &amp; Costi interni AT'!H29</f>
        <v>145571.31875743018</v>
      </c>
      <c r="I27" s="26">
        <f>'EBIT &amp; Costi interni AT'!I29</f>
        <v>148118.81683568523</v>
      </c>
      <c r="J27" s="26">
        <f>'EBIT &amp; Costi interni AT'!J29</f>
        <v>100473.93075353981</v>
      </c>
    </row>
    <row r="28" spans="1:10" ht="18.75" x14ac:dyDescent="0.25">
      <c r="A28" s="7" t="s">
        <v>67</v>
      </c>
      <c r="B28" s="8" t="s">
        <v>68</v>
      </c>
      <c r="C28" s="9" t="s">
        <v>69</v>
      </c>
      <c r="D28" s="6">
        <f>'EBIT &amp; Costi interni AT'!D30</f>
        <v>0</v>
      </c>
      <c r="E28" s="6">
        <f>'EBIT &amp; Costi interni AT'!E30</f>
        <v>0</v>
      </c>
      <c r="F28" s="6">
        <f>'EBIT &amp; Costi interni AT'!F30</f>
        <v>0</v>
      </c>
      <c r="G28" s="6">
        <f>'EBIT &amp; Costi interni AT'!G30</f>
        <v>0</v>
      </c>
      <c r="H28" s="6">
        <f>'EBIT &amp; Costi interni AT'!H30</f>
        <v>0</v>
      </c>
      <c r="I28" s="6">
        <f>'EBIT &amp; Costi interni AT'!I30</f>
        <v>0</v>
      </c>
      <c r="J28" s="6">
        <f>'EBIT &amp; Costi interni AT'!J30</f>
        <v>0</v>
      </c>
    </row>
    <row r="29" spans="1:10" ht="33.75" x14ac:dyDescent="0.25">
      <c r="A29" s="7" t="s">
        <v>70</v>
      </c>
      <c r="B29" s="8" t="s">
        <v>71</v>
      </c>
      <c r="C29" s="9" t="s">
        <v>16</v>
      </c>
      <c r="D29" s="6">
        <f>SUM('EBIT &amp; Costi interni AT'!D31:D32)</f>
        <v>5375.6876712328776</v>
      </c>
      <c r="E29" s="6">
        <f>SUM('EBIT &amp; Costi interni AT'!E31:E32)</f>
        <v>10909.635</v>
      </c>
      <c r="F29" s="6">
        <f>SUM('EBIT &amp; Costi interni AT'!F31:F32)</f>
        <v>11100.553612500002</v>
      </c>
      <c r="G29" s="6">
        <f>SUM('EBIT &amp; Costi interni AT'!G31:G32)</f>
        <v>11294.813300718752</v>
      </c>
      <c r="H29" s="6">
        <f>SUM('EBIT &amp; Costi interni AT'!H31:H32)</f>
        <v>11492.47253348133</v>
      </c>
      <c r="I29" s="6">
        <f>SUM('EBIT &amp; Costi interni AT'!I31:I32)</f>
        <v>11693.590802817254</v>
      </c>
      <c r="J29" s="6">
        <f>SUM('EBIT &amp; Costi interni AT'!J31:J32)</f>
        <v>7932.1524279110381</v>
      </c>
    </row>
    <row r="30" spans="1:10" ht="33.75" x14ac:dyDescent="0.25">
      <c r="A30" s="3" t="s">
        <v>72</v>
      </c>
      <c r="B30" s="4" t="s">
        <v>73</v>
      </c>
      <c r="C30" s="5" t="s">
        <v>74</v>
      </c>
      <c r="D30" s="27">
        <f>'EBIT &amp; Costi interni AT'!D76</f>
        <v>3400.7917808219181</v>
      </c>
      <c r="E30" s="27">
        <f>'EBIT &amp; Costi interni AT'!E76</f>
        <v>6886.7799000000005</v>
      </c>
      <c r="F30" s="27">
        <f>'EBIT &amp; Costi interni AT'!F76</f>
        <v>6992.1476324700006</v>
      </c>
      <c r="G30" s="27">
        <f>'EBIT &amp; Costi interni AT'!G76</f>
        <v>7099.1274912467916</v>
      </c>
      <c r="H30" s="27">
        <f>'EBIT &amp; Costi interni AT'!H76</f>
        <v>7207.7441418628678</v>
      </c>
      <c r="I30" s="27">
        <f>'EBIT &amp; Costi interni AT'!I76</f>
        <v>7318.0226272333703</v>
      </c>
      <c r="J30" s="27">
        <f>'EBIT &amp; Costi interni AT'!J76</f>
        <v>4953.325582286695</v>
      </c>
    </row>
    <row r="31" spans="1:10" ht="30" x14ac:dyDescent="0.25">
      <c r="A31" s="7" t="s">
        <v>14</v>
      </c>
      <c r="B31" s="28" t="s">
        <v>75</v>
      </c>
      <c r="C31" s="18" t="s">
        <v>76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</row>
    <row r="32" spans="1:10" ht="37.5" x14ac:dyDescent="0.25">
      <c r="A32" s="29" t="s">
        <v>77</v>
      </c>
      <c r="B32" s="28" t="s">
        <v>78</v>
      </c>
      <c r="C32" s="30" t="s">
        <v>79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</row>
    <row r="33" spans="1:11" ht="31.5" x14ac:dyDescent="0.25">
      <c r="A33" s="31"/>
      <c r="B33" s="13" t="s">
        <v>80</v>
      </c>
      <c r="C33" s="32" t="s">
        <v>81</v>
      </c>
      <c r="D33" s="21">
        <f t="shared" ref="D33:J33" si="6">D12+D18+D22+D26+D30</f>
        <v>144017.81206754746</v>
      </c>
      <c r="E33" s="21">
        <f t="shared" si="6"/>
        <v>292122.19557128981</v>
      </c>
      <c r="F33" s="21">
        <f t="shared" si="6"/>
        <v>297079.08202253049</v>
      </c>
      <c r="G33" s="21">
        <f t="shared" si="6"/>
        <v>302120.73713275779</v>
      </c>
      <c r="H33" s="21">
        <f t="shared" si="6"/>
        <v>307248.62207766389</v>
      </c>
      <c r="I33" s="21">
        <f t="shared" si="6"/>
        <v>312464.22342209617</v>
      </c>
      <c r="J33" s="21">
        <f t="shared" si="6"/>
        <v>211846.0357098527</v>
      </c>
      <c r="K33" s="16">
        <f>SUM(D33:J33)</f>
        <v>1866898.7080037384</v>
      </c>
    </row>
    <row r="34" spans="1:11" ht="33.75" x14ac:dyDescent="0.25">
      <c r="A34" s="3" t="s">
        <v>82</v>
      </c>
      <c r="B34" s="4" t="s">
        <v>83</v>
      </c>
      <c r="C34" s="5" t="s">
        <v>84</v>
      </c>
      <c r="D34" s="19">
        <f>SUM('Beni  trasferiti-funzionali'!D54,'Beni  trasferiti-funzionali'!D56,'Beni  trasferiti-funzionali'!D58,'Beni  trasferiti-funzionali'!D60)</f>
        <v>1074.0390385755652</v>
      </c>
      <c r="E34" s="19">
        <f>SUM('Beni  trasferiti-funzionali'!E54,'Beni  trasferiti-funzionali'!E56,'Beni  trasferiti-funzionali'!E58,'Beni  trasferiti-funzionali'!E60)</f>
        <v>2142.2090113665645</v>
      </c>
      <c r="F34" s="19">
        <f>SUM('Beni  trasferiti-funzionali'!F54,'Beni  trasferiti-funzionali'!F56,'Beni  trasferiti-funzionali'!F58,'Beni  trasferiti-funzionali'!F60)</f>
        <v>2142.2090113665645</v>
      </c>
      <c r="G34" s="19">
        <f>SUM('Beni  trasferiti-funzionali'!G54,'Beni  trasferiti-funzionali'!G56,'Beni  trasferiti-funzionali'!G58,'Beni  trasferiti-funzionali'!G60)</f>
        <v>2142.2090113665645</v>
      </c>
      <c r="H34" s="19">
        <f>SUM('Beni  trasferiti-funzionali'!H54,'Beni  trasferiti-funzionali'!H56,'Beni  trasferiti-funzionali'!H58,'Beni  trasferiti-funzionali'!H60)</f>
        <v>2142.2090113665645</v>
      </c>
      <c r="I34" s="19">
        <f>SUM('Beni  trasferiti-funzionali'!I54,'Beni  trasferiti-funzionali'!I56,'Beni  trasferiti-funzionali'!I58,'Beni  trasferiti-funzionali'!I60)</f>
        <v>2142.2090113665645</v>
      </c>
      <c r="J34" s="19">
        <f>SUM('Beni  trasferiti-funzionali'!J54,'Beni  trasferiti-funzionali'!J56,'Beni  trasferiti-funzionali'!J58,'Beni  trasferiti-funzionali'!J60)</f>
        <v>1428.1393409110428</v>
      </c>
      <c r="K34" s="33"/>
    </row>
    <row r="35" spans="1:11" ht="33.75" x14ac:dyDescent="0.25">
      <c r="A35" s="3" t="s">
        <v>85</v>
      </c>
      <c r="B35" s="4" t="s">
        <v>86</v>
      </c>
      <c r="C35" s="23" t="s">
        <v>87</v>
      </c>
      <c r="D35" s="21">
        <f t="shared" ref="D35:J35" si="7">D40+D38+D36</f>
        <v>21011.170409647999</v>
      </c>
      <c r="E35" s="21">
        <f t="shared" si="7"/>
        <v>41907.525680445462</v>
      </c>
      <c r="F35" s="21">
        <f t="shared" si="7"/>
        <v>41907.525680445462</v>
      </c>
      <c r="G35" s="21">
        <f t="shared" si="7"/>
        <v>41907.525680445462</v>
      </c>
      <c r="H35" s="21">
        <f t="shared" si="7"/>
        <v>41907.525680445462</v>
      </c>
      <c r="I35" s="21">
        <f t="shared" si="7"/>
        <v>41907.525680445462</v>
      </c>
      <c r="J35" s="21">
        <f t="shared" si="7"/>
        <v>27938.350453630308</v>
      </c>
      <c r="K35" s="33">
        <f>SUM(D35:J35)</f>
        <v>258487.14926550561</v>
      </c>
    </row>
    <row r="36" spans="1:11" ht="18.75" x14ac:dyDescent="0.25">
      <c r="A36" s="7" t="s">
        <v>88</v>
      </c>
      <c r="B36" s="8" t="s">
        <v>89</v>
      </c>
      <c r="C36" s="9" t="s">
        <v>90</v>
      </c>
      <c r="D36" s="10">
        <f>'EBIT &amp; Costi interni AT'!D65</f>
        <v>20461.90684931507</v>
      </c>
      <c r="E36" s="10">
        <f>'EBIT &amp; Costi interni AT'!E65</f>
        <v>40812</v>
      </c>
      <c r="F36" s="10">
        <f>'EBIT &amp; Costi interni AT'!F65</f>
        <v>40812</v>
      </c>
      <c r="G36" s="10">
        <f>'EBIT &amp; Costi interni AT'!G65</f>
        <v>40812</v>
      </c>
      <c r="H36" s="10">
        <f>'EBIT &amp; Costi interni AT'!H65</f>
        <v>40812</v>
      </c>
      <c r="I36" s="10">
        <f>'EBIT &amp; Costi interni AT'!I65</f>
        <v>40812</v>
      </c>
      <c r="J36" s="10">
        <f>'EBIT &amp; Costi interni AT'!J65</f>
        <v>27208</v>
      </c>
    </row>
    <row r="37" spans="1:11" ht="56.25" x14ac:dyDescent="0.25">
      <c r="A37" s="7" t="s">
        <v>91</v>
      </c>
      <c r="B37" s="8" t="s">
        <v>92</v>
      </c>
      <c r="C37" s="34" t="s">
        <v>93</v>
      </c>
      <c r="D37" s="10"/>
      <c r="E37" s="10"/>
      <c r="F37" s="10"/>
      <c r="G37" s="10"/>
      <c r="H37" s="10"/>
      <c r="I37" s="10"/>
      <c r="J37" s="10"/>
    </row>
    <row r="38" spans="1:11" ht="22.5" x14ac:dyDescent="0.25">
      <c r="A38" s="7" t="s">
        <v>14</v>
      </c>
      <c r="B38" s="8" t="s">
        <v>94</v>
      </c>
      <c r="C38" s="9" t="s">
        <v>95</v>
      </c>
      <c r="D38" s="10">
        <f>'EBIT &amp; Costi interni AT'!D69</f>
        <v>549.26356033293075</v>
      </c>
      <c r="E38" s="10">
        <f>'EBIT &amp; Costi interni AT'!E69</f>
        <v>1095.525680445463</v>
      </c>
      <c r="F38" s="10">
        <f>'EBIT &amp; Costi interni AT'!F69</f>
        <v>1095.525680445463</v>
      </c>
      <c r="G38" s="10">
        <f>'EBIT &amp; Costi interni AT'!G69</f>
        <v>1095.525680445463</v>
      </c>
      <c r="H38" s="10">
        <f>'EBIT &amp; Costi interni AT'!H69</f>
        <v>1095.525680445463</v>
      </c>
      <c r="I38" s="10">
        <f>'EBIT &amp; Costi interni AT'!I69</f>
        <v>1095.525680445463</v>
      </c>
      <c r="J38" s="10">
        <f>'EBIT &amp; Costi interni AT'!J69</f>
        <v>730.35045363030861</v>
      </c>
    </row>
    <row r="39" spans="1:11" ht="25.5" x14ac:dyDescent="0.25">
      <c r="A39" s="7" t="s">
        <v>14</v>
      </c>
      <c r="B39" s="8" t="s">
        <v>96</v>
      </c>
      <c r="C39" s="25" t="s">
        <v>97</v>
      </c>
      <c r="D39" s="6"/>
      <c r="E39" s="6"/>
      <c r="F39" s="6"/>
      <c r="G39" s="6"/>
      <c r="H39" s="6"/>
      <c r="I39" s="6"/>
      <c r="J39" s="6"/>
    </row>
    <row r="40" spans="1:11" ht="62.45" customHeight="1" x14ac:dyDescent="0.25">
      <c r="A40" s="7" t="s">
        <v>98</v>
      </c>
      <c r="B40" s="8" t="s">
        <v>99</v>
      </c>
      <c r="C40" s="9" t="s">
        <v>16</v>
      </c>
      <c r="D40" s="10">
        <f>'EBIT &amp; Costi interni AT'!D66+'EBIT &amp; Costi interni AT'!D68</f>
        <v>0</v>
      </c>
      <c r="E40" s="10">
        <f>'EBIT &amp; Costi interni AT'!E66+'EBIT &amp; Costi interni AT'!E68</f>
        <v>0</v>
      </c>
      <c r="F40" s="10">
        <f>'EBIT &amp; Costi interni AT'!F66+'EBIT &amp; Costi interni AT'!F68</f>
        <v>0</v>
      </c>
      <c r="G40" s="10">
        <f>'EBIT &amp; Costi interni AT'!G66+'EBIT &amp; Costi interni AT'!G68</f>
        <v>0</v>
      </c>
      <c r="H40" s="10">
        <f>'EBIT &amp; Costi interni AT'!H66+'EBIT &amp; Costi interni AT'!H68</f>
        <v>0</v>
      </c>
      <c r="I40" s="10">
        <f>'EBIT &amp; Costi interni AT'!I66+'EBIT &amp; Costi interni AT'!I68</f>
        <v>0</v>
      </c>
      <c r="J40" s="10">
        <f>'EBIT &amp; Costi interni AT'!J66+'EBIT &amp; Costi interni AT'!J68</f>
        <v>0</v>
      </c>
    </row>
    <row r="41" spans="1:11" ht="31.5" x14ac:dyDescent="0.25">
      <c r="A41" s="31"/>
      <c r="B41" s="13" t="s">
        <v>100</v>
      </c>
      <c r="C41" s="14" t="s">
        <v>101</v>
      </c>
      <c r="D41" s="35">
        <f t="shared" ref="D41:J41" si="8">D35+D34</f>
        <v>22085.209448223563</v>
      </c>
      <c r="E41" s="35">
        <f t="shared" si="8"/>
        <v>44049.734691812024</v>
      </c>
      <c r="F41" s="35">
        <f t="shared" si="8"/>
        <v>44049.734691812024</v>
      </c>
      <c r="G41" s="35">
        <f t="shared" si="8"/>
        <v>44049.734691812024</v>
      </c>
      <c r="H41" s="35">
        <f t="shared" si="8"/>
        <v>44049.734691812024</v>
      </c>
      <c r="I41" s="35">
        <f t="shared" si="8"/>
        <v>44049.734691812024</v>
      </c>
      <c r="J41" s="35">
        <f t="shared" si="8"/>
        <v>29366.48979454135</v>
      </c>
      <c r="K41" s="16">
        <f>SUM(D41:J41)</f>
        <v>271700.37270182499</v>
      </c>
    </row>
    <row r="44" spans="1:11" x14ac:dyDescent="0.25">
      <c r="D44" s="36"/>
      <c r="E44" s="36"/>
      <c r="F44" s="36"/>
      <c r="G44" s="36"/>
      <c r="H44" s="36"/>
      <c r="I44" s="36"/>
      <c r="J44" s="36"/>
    </row>
  </sheetData>
  <mergeCells count="5">
    <mergeCell ref="A1:H1"/>
    <mergeCell ref="A2:J2"/>
    <mergeCell ref="A3:A4"/>
    <mergeCell ref="B3:C4"/>
    <mergeCell ref="D3:J3"/>
  </mergeCells>
  <printOptions horizontalCentered="1" verticalCentered="1"/>
  <pageMargins left="0.24583333333333299" right="2.1527777777777798E-2" top="0.50694444444444398" bottom="0.34375" header="0.241666666666667" footer="7.8472222222222193E-2"/>
  <pageSetup paperSize="8" scale="85" firstPageNumber="0" orientation="landscape" horizontalDpi="300" verticalDpi="300"/>
  <headerFooter>
    <oddHeader>&amp;C&amp;"Times New Roman,Normale"&amp;12&amp;A</oddHeader>
    <oddFooter>&amp;L_x000D_&amp;1#&amp;"Aptos"&amp;8&amp;K000000 LIMITED SHARING&amp;C&amp;"Times New Roman,Normale"&amp;12Pagina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AACD7-47B3-4F6E-8B1C-F39C903F3C03}">
  <sheetPr>
    <tabColor rgb="FF006600"/>
  </sheetPr>
  <dimension ref="A1:K38"/>
  <sheetViews>
    <sheetView topLeftCell="B21" zoomScale="80" zoomScaleNormal="80" workbookViewId="0">
      <selection activeCell="J22" sqref="J22"/>
    </sheetView>
  </sheetViews>
  <sheetFormatPr defaultColWidth="11.7109375" defaultRowHeight="15" x14ac:dyDescent="0.25"/>
  <cols>
    <col min="1" max="1" width="24.28515625" style="1" customWidth="1"/>
    <col min="2" max="2" width="11.7109375" style="1"/>
    <col min="3" max="3" width="55.42578125" style="1" customWidth="1"/>
    <col min="4" max="6" width="17.42578125" style="1" bestFit="1" customWidth="1"/>
    <col min="7" max="8" width="16.5703125" style="1" customWidth="1"/>
    <col min="9" max="9" width="17.42578125" style="1" customWidth="1"/>
    <col min="10" max="10" width="17.85546875" style="1" customWidth="1"/>
    <col min="11" max="11" width="22.85546875" style="1" customWidth="1"/>
    <col min="12" max="16384" width="11.7109375" style="1"/>
  </cols>
  <sheetData>
    <row r="1" spans="1:10" ht="13.7" customHeight="1" x14ac:dyDescent="0.25">
      <c r="A1" s="209" t="s">
        <v>102</v>
      </c>
      <c r="B1" s="209"/>
      <c r="C1" s="209"/>
      <c r="D1" s="209"/>
      <c r="E1" s="209"/>
      <c r="F1" s="209"/>
      <c r="G1" s="209"/>
      <c r="H1" s="209"/>
      <c r="I1" s="209"/>
      <c r="J1" s="209"/>
    </row>
    <row r="2" spans="1:10" x14ac:dyDescent="0.25">
      <c r="A2" s="209"/>
      <c r="B2" s="209"/>
      <c r="C2" s="209"/>
      <c r="D2" s="209"/>
      <c r="E2" s="209"/>
      <c r="F2" s="209"/>
      <c r="G2" s="209"/>
      <c r="H2" s="209"/>
      <c r="I2" s="209"/>
      <c r="J2" s="209"/>
    </row>
    <row r="3" spans="1:10" ht="17.45" customHeight="1" x14ac:dyDescent="0.25">
      <c r="A3" s="206" t="s">
        <v>103</v>
      </c>
      <c r="B3" s="210" t="s">
        <v>104</v>
      </c>
      <c r="C3" s="210"/>
      <c r="D3" s="211" t="s">
        <v>4</v>
      </c>
      <c r="E3" s="211"/>
      <c r="F3" s="211"/>
      <c r="G3" s="211"/>
      <c r="H3" s="211"/>
      <c r="I3" s="211"/>
      <c r="J3" s="211"/>
    </row>
    <row r="4" spans="1:10" ht="18.75" x14ac:dyDescent="0.25">
      <c r="A4" s="206"/>
      <c r="B4" s="210"/>
      <c r="C4" s="210"/>
      <c r="D4" s="37">
        <v>1</v>
      </c>
      <c r="E4" s="37">
        <v>2</v>
      </c>
      <c r="F4" s="37">
        <v>3</v>
      </c>
      <c r="G4" s="37">
        <v>4</v>
      </c>
      <c r="H4" s="37">
        <v>5</v>
      </c>
      <c r="I4" s="37">
        <v>6</v>
      </c>
      <c r="J4" s="37">
        <v>7</v>
      </c>
    </row>
    <row r="5" spans="1:10" ht="31.5" x14ac:dyDescent="0.3">
      <c r="A5" s="38" t="s">
        <v>105</v>
      </c>
      <c r="B5" s="39" t="s">
        <v>6</v>
      </c>
      <c r="C5" s="40" t="s">
        <v>106</v>
      </c>
      <c r="D5" s="41">
        <f t="shared" ref="D5:J5" si="0">D10+D9+D8+D7+D6</f>
        <v>16063.63305235695</v>
      </c>
      <c r="E5" s="41">
        <f t="shared" si="0"/>
        <v>13921.424040990387</v>
      </c>
      <c r="F5" s="41">
        <f t="shared" si="0"/>
        <v>11779.215029623821</v>
      </c>
      <c r="G5" s="41">
        <f t="shared" si="0"/>
        <v>9637.0060182572561</v>
      </c>
      <c r="H5" s="41">
        <f t="shared" si="0"/>
        <v>7494.7970068906916</v>
      </c>
      <c r="I5" s="41">
        <f t="shared" si="0"/>
        <v>5352.5879955241271</v>
      </c>
      <c r="J5" s="41">
        <f t="shared" si="0"/>
        <v>3924.4486546130843</v>
      </c>
    </row>
    <row r="6" spans="1:10" ht="47.25" x14ac:dyDescent="0.3">
      <c r="A6" s="42" t="s">
        <v>107</v>
      </c>
      <c r="B6" s="43" t="s">
        <v>9</v>
      </c>
      <c r="C6" s="44" t="s">
        <v>108</v>
      </c>
      <c r="D6" s="45"/>
      <c r="E6" s="45"/>
      <c r="F6" s="45"/>
      <c r="G6" s="45"/>
      <c r="H6" s="45"/>
      <c r="I6" s="45"/>
      <c r="J6" s="45"/>
    </row>
    <row r="7" spans="1:10" ht="47.25" x14ac:dyDescent="0.25">
      <c r="A7" s="42" t="s">
        <v>107</v>
      </c>
      <c r="B7" s="43" t="s">
        <v>12</v>
      </c>
      <c r="C7" s="44" t="s">
        <v>109</v>
      </c>
      <c r="D7" s="46"/>
      <c r="E7" s="46"/>
      <c r="F7" s="46"/>
      <c r="G7" s="46"/>
      <c r="H7" s="46"/>
      <c r="I7" s="46"/>
      <c r="J7" s="46"/>
    </row>
    <row r="8" spans="1:10" ht="31.5" x14ac:dyDescent="0.3">
      <c r="A8" s="47" t="s">
        <v>110</v>
      </c>
      <c r="B8" s="43" t="s">
        <v>15</v>
      </c>
      <c r="C8" s="44" t="s">
        <v>111</v>
      </c>
      <c r="D8" s="45"/>
      <c r="E8" s="45"/>
      <c r="F8" s="45"/>
      <c r="G8" s="45"/>
      <c r="H8" s="45"/>
      <c r="I8" s="45"/>
      <c r="J8" s="45"/>
    </row>
    <row r="9" spans="1:10" ht="31.5" x14ac:dyDescent="0.3">
      <c r="A9" s="47" t="s">
        <v>110</v>
      </c>
      <c r="B9" s="43" t="s">
        <v>112</v>
      </c>
      <c r="C9" s="44" t="s">
        <v>113</v>
      </c>
      <c r="D9" s="45"/>
      <c r="E9" s="45"/>
      <c r="F9" s="45"/>
      <c r="G9" s="45"/>
      <c r="H9" s="45"/>
      <c r="I9" s="45"/>
      <c r="J9" s="45"/>
    </row>
    <row r="10" spans="1:10" ht="18.75" x14ac:dyDescent="0.3">
      <c r="A10" s="47" t="s">
        <v>114</v>
      </c>
      <c r="B10" s="43" t="s">
        <v>115</v>
      </c>
      <c r="C10" s="48" t="s">
        <v>16</v>
      </c>
      <c r="D10" s="49">
        <f>'Beni  trasferiti-funzionali'!D61</f>
        <v>16063.63305235695</v>
      </c>
      <c r="E10" s="49">
        <f>'Beni  trasferiti-funzionali'!E61</f>
        <v>13921.424040990387</v>
      </c>
      <c r="F10" s="49">
        <f>'Beni  trasferiti-funzionali'!F61</f>
        <v>11779.215029623821</v>
      </c>
      <c r="G10" s="49">
        <f>'Beni  trasferiti-funzionali'!G61</f>
        <v>9637.0060182572561</v>
      </c>
      <c r="H10" s="49">
        <f>'Beni  trasferiti-funzionali'!H61</f>
        <v>7494.7970068906916</v>
      </c>
      <c r="I10" s="49">
        <f>'Beni  trasferiti-funzionali'!I61</f>
        <v>5352.5879955241271</v>
      </c>
      <c r="J10" s="49">
        <f>'Beni  trasferiti-funzionali'!J61</f>
        <v>3924.4486546130843</v>
      </c>
    </row>
    <row r="11" spans="1:10" ht="21" x14ac:dyDescent="0.3">
      <c r="A11" s="47" t="s">
        <v>116</v>
      </c>
      <c r="B11" s="50" t="s">
        <v>18</v>
      </c>
      <c r="C11" s="51" t="s">
        <v>117</v>
      </c>
      <c r="D11" s="52">
        <f t="shared" ref="D11:J11" si="1">D12+D13+D14+D15+D16+D17+D18+D19</f>
        <v>400624.19046617352</v>
      </c>
      <c r="E11" s="52">
        <f t="shared" si="1"/>
        <v>375943.41749178525</v>
      </c>
      <c r="F11" s="52">
        <f t="shared" si="1"/>
        <v>351262.64451739704</v>
      </c>
      <c r="G11" s="52">
        <f t="shared" si="1"/>
        <v>326581.87154300878</v>
      </c>
      <c r="H11" s="52">
        <f t="shared" si="1"/>
        <v>301901.09856862051</v>
      </c>
      <c r="I11" s="52">
        <f t="shared" si="1"/>
        <v>277220.3255942323</v>
      </c>
      <c r="J11" s="52">
        <f t="shared" si="1"/>
        <v>260766.47694464013</v>
      </c>
    </row>
    <row r="12" spans="1:10" ht="47.25" x14ac:dyDescent="0.3">
      <c r="A12" s="47" t="s">
        <v>118</v>
      </c>
      <c r="B12" s="43" t="s">
        <v>119</v>
      </c>
      <c r="C12" s="53" t="s">
        <v>120</v>
      </c>
      <c r="D12" s="54">
        <f>'Beni  trasferiti-funzionali'!D40</f>
        <v>4443.3928000000005</v>
      </c>
      <c r="E12" s="54">
        <f>'Beni  trasferiti-funzionali'!E40</f>
        <v>4443.3928000000005</v>
      </c>
      <c r="F12" s="54">
        <f>'Beni  trasferiti-funzionali'!F40</f>
        <v>4443.3928000000005</v>
      </c>
      <c r="G12" s="54">
        <f>'Beni  trasferiti-funzionali'!G40</f>
        <v>4443.3928000000005</v>
      </c>
      <c r="H12" s="54">
        <f>'Beni  trasferiti-funzionali'!H40</f>
        <v>4443.3928000000005</v>
      </c>
      <c r="I12" s="54">
        <f>'Beni  trasferiti-funzionali'!I40</f>
        <v>4443.3928000000005</v>
      </c>
      <c r="J12" s="54">
        <f>'Beni  trasferiti-funzionali'!J40</f>
        <v>4443.3928000000005</v>
      </c>
    </row>
    <row r="13" spans="1:10" ht="37.700000000000003" customHeight="1" x14ac:dyDescent="0.3">
      <c r="A13" s="42" t="s">
        <v>121</v>
      </c>
      <c r="B13" s="43" t="s">
        <v>122</v>
      </c>
      <c r="C13" s="53" t="s">
        <v>123</v>
      </c>
      <c r="D13" s="45">
        <f>'Beni  trasferiti-funzionali'!D32</f>
        <v>54227.020461940221</v>
      </c>
      <c r="E13" s="45">
        <f>'Beni  trasferiti-funzionali'!E32</f>
        <v>53131.494781494759</v>
      </c>
      <c r="F13" s="45">
        <f>'Beni  trasferiti-funzionali'!F32</f>
        <v>52035.969101049297</v>
      </c>
      <c r="G13" s="45">
        <f>'Beni  trasferiti-funzionali'!G32</f>
        <v>50940.443420603835</v>
      </c>
      <c r="H13" s="45">
        <f>'Beni  trasferiti-funzionali'!H32</f>
        <v>49844.917740158373</v>
      </c>
      <c r="I13" s="45">
        <f>'Beni  trasferiti-funzionali'!I32</f>
        <v>48749.392059712911</v>
      </c>
      <c r="J13" s="45">
        <f>'Beni  trasferiti-funzionali'!J32</f>
        <v>48019.041606082603</v>
      </c>
    </row>
    <row r="14" spans="1:10" ht="47.25" x14ac:dyDescent="0.3">
      <c r="A14" s="47" t="s">
        <v>124</v>
      </c>
      <c r="B14" s="43" t="s">
        <v>125</v>
      </c>
      <c r="C14" s="53" t="s">
        <v>126</v>
      </c>
      <c r="D14" s="45"/>
      <c r="E14" s="45"/>
      <c r="F14" s="45"/>
      <c r="G14" s="45"/>
      <c r="H14" s="45"/>
      <c r="I14" s="45"/>
      <c r="J14" s="45"/>
    </row>
    <row r="15" spans="1:10" ht="18.75" x14ac:dyDescent="0.3">
      <c r="A15" s="42" t="s">
        <v>127</v>
      </c>
      <c r="B15" s="43" t="s">
        <v>128</v>
      </c>
      <c r="C15" s="55" t="s">
        <v>129</v>
      </c>
      <c r="D15" s="54">
        <f>'Beni  trasferiti-funzionali'!D9</f>
        <v>341953.77720423328</v>
      </c>
      <c r="E15" s="54">
        <f>'Beni  trasferiti-funzionali'!E9</f>
        <v>318368.5299102905</v>
      </c>
      <c r="F15" s="54">
        <f>'Beni  trasferiti-funzionali'!F9</f>
        <v>294783.28261634771</v>
      </c>
      <c r="G15" s="54">
        <f>'Beni  trasferiti-funzionali'!G9</f>
        <v>271198.03532240493</v>
      </c>
      <c r="H15" s="54">
        <f>'Beni  trasferiti-funzionali'!H9</f>
        <v>247612.78802846215</v>
      </c>
      <c r="I15" s="54">
        <f>'Beni  trasferiti-funzionali'!I9</f>
        <v>224027.54073451937</v>
      </c>
      <c r="J15" s="54">
        <f>'Beni  trasferiti-funzionali'!J9</f>
        <v>208304.04253855752</v>
      </c>
    </row>
    <row r="16" spans="1:10" ht="31.5" x14ac:dyDescent="0.3">
      <c r="A16" s="42" t="s">
        <v>14</v>
      </c>
      <c r="B16" s="43" t="s">
        <v>130</v>
      </c>
      <c r="C16" s="53" t="s">
        <v>93</v>
      </c>
      <c r="D16" s="54"/>
      <c r="E16" s="54"/>
      <c r="F16" s="54"/>
      <c r="G16" s="54"/>
      <c r="H16" s="54"/>
      <c r="I16" s="54"/>
      <c r="J16" s="54"/>
    </row>
    <row r="17" spans="1:11" ht="31.5" x14ac:dyDescent="0.3">
      <c r="A17" s="42" t="s">
        <v>14</v>
      </c>
      <c r="B17" s="43" t="s">
        <v>131</v>
      </c>
      <c r="C17" s="56" t="s">
        <v>132</v>
      </c>
      <c r="D17" s="54"/>
      <c r="E17" s="54"/>
      <c r="F17" s="54"/>
      <c r="G17" s="54"/>
      <c r="H17" s="54"/>
      <c r="I17" s="54"/>
      <c r="J17" s="54"/>
    </row>
    <row r="18" spans="1:11" ht="58.5" customHeight="1" x14ac:dyDescent="0.3">
      <c r="A18" s="42" t="s">
        <v>133</v>
      </c>
      <c r="B18" s="43" t="s">
        <v>134</v>
      </c>
      <c r="C18" s="53" t="s">
        <v>135</v>
      </c>
      <c r="D18" s="54"/>
      <c r="E18" s="54"/>
      <c r="F18" s="54"/>
      <c r="G18" s="54"/>
      <c r="H18" s="54"/>
      <c r="I18" s="54"/>
      <c r="J18" s="54"/>
    </row>
    <row r="19" spans="1:11" ht="18.75" x14ac:dyDescent="0.3">
      <c r="A19" s="42" t="s">
        <v>136</v>
      </c>
      <c r="B19" s="43" t="s">
        <v>137</v>
      </c>
      <c r="C19" s="53" t="s">
        <v>138</v>
      </c>
      <c r="D19" s="45">
        <f>'Beni  trasferiti-funzionali'!D24</f>
        <v>0</v>
      </c>
      <c r="E19" s="45">
        <f>'Beni  trasferiti-funzionali'!E24</f>
        <v>0</v>
      </c>
      <c r="F19" s="45">
        <f>'Beni  trasferiti-funzionali'!F24</f>
        <v>0</v>
      </c>
      <c r="G19" s="45">
        <f>'Beni  trasferiti-funzionali'!G24</f>
        <v>0</v>
      </c>
      <c r="H19" s="45">
        <f>'Beni  trasferiti-funzionali'!H24</f>
        <v>0</v>
      </c>
      <c r="I19" s="45">
        <f>'Beni  trasferiti-funzionali'!I24</f>
        <v>0</v>
      </c>
      <c r="J19" s="45">
        <f>'Beni  trasferiti-funzionali'!J24</f>
        <v>0</v>
      </c>
    </row>
    <row r="20" spans="1:11" ht="37.5" x14ac:dyDescent="0.3">
      <c r="A20" s="57"/>
      <c r="B20" s="58" t="s">
        <v>20</v>
      </c>
      <c r="C20" s="59" t="s">
        <v>139</v>
      </c>
      <c r="D20" s="60">
        <f t="shared" ref="D20:J20" si="2">D11+D10</f>
        <v>416687.82351853047</v>
      </c>
      <c r="E20" s="60">
        <f t="shared" si="2"/>
        <v>389864.84153277567</v>
      </c>
      <c r="F20" s="60">
        <f t="shared" si="2"/>
        <v>363041.85954702087</v>
      </c>
      <c r="G20" s="60">
        <f t="shared" si="2"/>
        <v>336218.87756126601</v>
      </c>
      <c r="H20" s="60">
        <f t="shared" si="2"/>
        <v>309395.89557551121</v>
      </c>
      <c r="I20" s="60">
        <f t="shared" si="2"/>
        <v>282572.91358975641</v>
      </c>
      <c r="J20" s="60">
        <f t="shared" si="2"/>
        <v>264690.92559925321</v>
      </c>
    </row>
    <row r="21" spans="1:11" ht="18.75" x14ac:dyDescent="0.3">
      <c r="A21" s="47" t="s">
        <v>140</v>
      </c>
      <c r="B21" s="50" t="s">
        <v>141</v>
      </c>
      <c r="C21" s="61" t="s">
        <v>142</v>
      </c>
      <c r="D21" s="54">
        <f>SUM(D22:D23)</f>
        <v>0</v>
      </c>
      <c r="E21" s="54">
        <f t="shared" ref="E21:J21" si="3">SUM(E22:E23)</f>
        <v>0</v>
      </c>
      <c r="F21" s="54">
        <f t="shared" si="3"/>
        <v>0</v>
      </c>
      <c r="G21" s="54">
        <f t="shared" si="3"/>
        <v>0</v>
      </c>
      <c r="H21" s="54">
        <f t="shared" si="3"/>
        <v>0</v>
      </c>
      <c r="I21" s="54">
        <f t="shared" si="3"/>
        <v>0</v>
      </c>
      <c r="J21" s="54">
        <f t="shared" si="3"/>
        <v>0</v>
      </c>
      <c r="K21" s="1" t="s">
        <v>143</v>
      </c>
    </row>
    <row r="22" spans="1:11" ht="31.5" x14ac:dyDescent="0.3">
      <c r="A22" s="42" t="s">
        <v>14</v>
      </c>
      <c r="B22" s="43" t="s">
        <v>144</v>
      </c>
      <c r="C22" s="48" t="s">
        <v>145</v>
      </c>
      <c r="D22" s="54">
        <v>0</v>
      </c>
      <c r="E22" s="54">
        <v>0</v>
      </c>
      <c r="F22" s="54">
        <v>0</v>
      </c>
      <c r="G22" s="54">
        <v>0</v>
      </c>
      <c r="H22" s="54">
        <v>0</v>
      </c>
      <c r="I22" s="54">
        <v>0</v>
      </c>
      <c r="J22" s="54">
        <v>0</v>
      </c>
    </row>
    <row r="23" spans="1:11" ht="31.5" x14ac:dyDescent="0.25">
      <c r="A23" s="42" t="s">
        <v>14</v>
      </c>
      <c r="B23" s="43" t="s">
        <v>146</v>
      </c>
      <c r="C23" s="48" t="s">
        <v>147</v>
      </c>
      <c r="D23" s="62">
        <v>0</v>
      </c>
      <c r="E23" s="62">
        <v>0</v>
      </c>
      <c r="F23" s="62">
        <v>0</v>
      </c>
      <c r="G23" s="62">
        <v>0</v>
      </c>
      <c r="H23" s="62">
        <v>0</v>
      </c>
      <c r="I23" s="62">
        <v>0</v>
      </c>
      <c r="J23" s="62">
        <v>0</v>
      </c>
    </row>
    <row r="24" spans="1:11" ht="18.75" x14ac:dyDescent="0.3">
      <c r="A24" s="47" t="s">
        <v>148</v>
      </c>
      <c r="B24" s="50" t="s">
        <v>149</v>
      </c>
      <c r="C24" s="61" t="s">
        <v>150</v>
      </c>
      <c r="D24" s="54">
        <f>SUM(D25:D27)</f>
        <v>49830.906454731303</v>
      </c>
      <c r="E24" s="54">
        <f t="shared" ref="E24:J24" si="4">SUM(E25:E27)</f>
        <v>28694.916249999998</v>
      </c>
      <c r="F24" s="54">
        <f t="shared" si="4"/>
        <v>29133.948468625003</v>
      </c>
      <c r="G24" s="54">
        <f t="shared" si="4"/>
        <v>29579.697880194963</v>
      </c>
      <c r="H24" s="54">
        <f t="shared" si="4"/>
        <v>30032.267257761949</v>
      </c>
      <c r="I24" s="54">
        <f t="shared" si="4"/>
        <v>30491.760946805709</v>
      </c>
      <c r="J24" s="54">
        <f t="shared" si="4"/>
        <v>20638.856592861226</v>
      </c>
    </row>
    <row r="25" spans="1:11" ht="31.5" x14ac:dyDescent="0.3">
      <c r="A25" s="47" t="s">
        <v>151</v>
      </c>
      <c r="B25" s="43" t="s">
        <v>152</v>
      </c>
      <c r="C25" s="56" t="s">
        <v>153</v>
      </c>
      <c r="D25" s="54"/>
      <c r="E25" s="54"/>
      <c r="F25" s="54"/>
      <c r="G25" s="54"/>
      <c r="H25" s="54"/>
      <c r="I25" s="54"/>
      <c r="J25" s="54"/>
    </row>
    <row r="26" spans="1:11" ht="31.5" x14ac:dyDescent="0.3">
      <c r="A26" s="63" t="s">
        <v>154</v>
      </c>
      <c r="B26" s="64" t="s">
        <v>155</v>
      </c>
      <c r="C26" s="65" t="s">
        <v>156</v>
      </c>
      <c r="D26" s="54">
        <f>IF('EBIT &amp; Costi interni AT'!D21/2&gt;D35,D35,'EBIT &amp; Costi interni AT'!D21/2)</f>
        <v>49830.906454731303</v>
      </c>
      <c r="E26" s="54">
        <f>'EBIT &amp; Costi interni AT'!E21/12</f>
        <v>28694.916249999998</v>
      </c>
      <c r="F26" s="54">
        <f>'EBIT &amp; Costi interni AT'!F21/12</f>
        <v>29133.948468625003</v>
      </c>
      <c r="G26" s="54">
        <f>'EBIT &amp; Costi interni AT'!G21/12</f>
        <v>29579.697880194963</v>
      </c>
      <c r="H26" s="54">
        <f>'EBIT &amp; Costi interni AT'!H21/12</f>
        <v>30032.267257761949</v>
      </c>
      <c r="I26" s="54">
        <f>'EBIT &amp; Costi interni AT'!I21/12</f>
        <v>30491.760946805709</v>
      </c>
      <c r="J26" s="54">
        <f>'EBIT &amp; Costi interni AT'!J21/12</f>
        <v>20638.856592861226</v>
      </c>
      <c r="K26" s="1" t="s">
        <v>157</v>
      </c>
    </row>
    <row r="27" spans="1:11" ht="31.5" x14ac:dyDescent="0.25">
      <c r="A27" s="47" t="s">
        <v>158</v>
      </c>
      <c r="B27" s="43" t="s">
        <v>159</v>
      </c>
      <c r="C27" s="48" t="s">
        <v>160</v>
      </c>
      <c r="D27" s="62"/>
      <c r="E27" s="62"/>
      <c r="F27" s="62"/>
      <c r="G27" s="62"/>
      <c r="H27" s="62"/>
      <c r="I27" s="62"/>
      <c r="J27" s="62"/>
    </row>
    <row r="28" spans="1:11" ht="37.5" x14ac:dyDescent="0.3">
      <c r="A28" s="57"/>
      <c r="B28" s="58" t="s">
        <v>161</v>
      </c>
      <c r="C28" s="66" t="s">
        <v>162</v>
      </c>
      <c r="D28" s="67">
        <f>D21+D24</f>
        <v>49830.906454731303</v>
      </c>
      <c r="E28" s="67">
        <f t="shared" ref="E28:J28" si="5">E21+E24</f>
        <v>28694.916249999998</v>
      </c>
      <c r="F28" s="67">
        <f t="shared" si="5"/>
        <v>29133.948468625003</v>
      </c>
      <c r="G28" s="67">
        <f t="shared" si="5"/>
        <v>29579.697880194963</v>
      </c>
      <c r="H28" s="67">
        <f t="shared" si="5"/>
        <v>30032.267257761949</v>
      </c>
      <c r="I28" s="67">
        <f t="shared" si="5"/>
        <v>30491.760946805709</v>
      </c>
      <c r="J28" s="67">
        <f t="shared" si="5"/>
        <v>20638.856592861226</v>
      </c>
    </row>
    <row r="29" spans="1:11" ht="31.5" x14ac:dyDescent="0.3">
      <c r="A29" s="68" t="s">
        <v>163</v>
      </c>
      <c r="B29" s="69">
        <v>3</v>
      </c>
      <c r="C29" s="70" t="s">
        <v>164</v>
      </c>
      <c r="D29" s="67">
        <f>('EBIT &amp; Costi interni AT'!D38+'EBIT &amp; Costi interni AT'!D46+'EBIT &amp; Costi interni AT'!D76)/2</f>
        <v>35275.040280349058</v>
      </c>
      <c r="E29" s="67">
        <f>('EBIT &amp; Costi interni AT'!E38+'EBIT &amp; Costi interni AT'!E46+'EBIT &amp; Costi interni AT'!E76)/12</f>
        <v>11918.654214274145</v>
      </c>
      <c r="F29" s="67">
        <f>('EBIT &amp; Costi interni AT'!F38+'EBIT &amp; Costi interni AT'!F46+'EBIT &amp; Costi interni AT'!F76)/12</f>
        <v>12114.292998752542</v>
      </c>
      <c r="G29" s="67">
        <f>('EBIT &amp; Costi interni AT'!G38+'EBIT &amp; Costi interni AT'!G46+'EBIT &amp; Costi interni AT'!G76)/12</f>
        <v>12313.190724133457</v>
      </c>
      <c r="H29" s="67">
        <f>('EBIT &amp; Costi interni AT'!H38+'EBIT &amp; Costi interni AT'!H46+'EBIT &amp; Costi interni AT'!H76)/12</f>
        <v>12515.402565562697</v>
      </c>
      <c r="I29" s="67">
        <f>('EBIT &amp; Costi interni AT'!I38+'EBIT &amp; Costi interni AT'!I46+'EBIT &amp; Costi interni AT'!I76)/12</f>
        <v>12720.98464863281</v>
      </c>
      <c r="J29" s="67">
        <f>('EBIT &amp; Costi interni AT'!J38+'EBIT &amp; Costi interni AT'!J46+'EBIT &amp; Costi interni AT'!J76)/12</f>
        <v>8619.9960440334871</v>
      </c>
      <c r="K29" s="1" t="s">
        <v>165</v>
      </c>
    </row>
    <row r="30" spans="1:11" ht="18.75" x14ac:dyDescent="0.3">
      <c r="A30" s="71"/>
      <c r="B30" s="72" t="s">
        <v>166</v>
      </c>
      <c r="C30" s="73" t="s">
        <v>167</v>
      </c>
      <c r="D30" s="74">
        <f t="shared" ref="D30:J30" si="6">D20+D28-D29</f>
        <v>431243.68969291274</v>
      </c>
      <c r="E30" s="74">
        <f t="shared" si="6"/>
        <v>406641.10356850154</v>
      </c>
      <c r="F30" s="74">
        <f t="shared" si="6"/>
        <v>380061.51501689333</v>
      </c>
      <c r="G30" s="74">
        <f t="shared" si="6"/>
        <v>353485.38471732754</v>
      </c>
      <c r="H30" s="74">
        <f t="shared" si="6"/>
        <v>326912.76026771049</v>
      </c>
      <c r="I30" s="74">
        <f t="shared" si="6"/>
        <v>300343.6898879293</v>
      </c>
      <c r="J30" s="74">
        <f t="shared" si="6"/>
        <v>276709.78614808095</v>
      </c>
    </row>
    <row r="31" spans="1:11" ht="18.75" x14ac:dyDescent="0.3">
      <c r="A31" s="71"/>
      <c r="B31" s="75">
        <v>5</v>
      </c>
      <c r="C31" s="73" t="s">
        <v>168</v>
      </c>
      <c r="D31" s="76">
        <f>D38</f>
        <v>7.2999999999999995E-2</v>
      </c>
      <c r="E31" s="76">
        <f>D31</f>
        <v>7.2999999999999995E-2</v>
      </c>
      <c r="F31" s="76">
        <f t="shared" ref="F31:J31" si="7">E31</f>
        <v>7.2999999999999995E-2</v>
      </c>
      <c r="G31" s="76">
        <f t="shared" si="7"/>
        <v>7.2999999999999995E-2</v>
      </c>
      <c r="H31" s="76">
        <f t="shared" si="7"/>
        <v>7.2999999999999995E-2</v>
      </c>
      <c r="I31" s="76">
        <f t="shared" si="7"/>
        <v>7.2999999999999995E-2</v>
      </c>
      <c r="J31" s="76">
        <f t="shared" si="7"/>
        <v>7.2999999999999995E-2</v>
      </c>
    </row>
    <row r="32" spans="1:11" ht="18.75" x14ac:dyDescent="0.3">
      <c r="A32" s="71"/>
      <c r="B32" s="72" t="s">
        <v>169</v>
      </c>
      <c r="C32" s="73" t="s">
        <v>170</v>
      </c>
      <c r="D32" s="77">
        <f t="shared" ref="D32:J32" si="8">D31*D30</f>
        <v>31480.789347582628</v>
      </c>
      <c r="E32" s="77">
        <f t="shared" si="8"/>
        <v>29684.800560500611</v>
      </c>
      <c r="F32" s="77">
        <f t="shared" si="8"/>
        <v>27744.490596233212</v>
      </c>
      <c r="G32" s="77">
        <f t="shared" si="8"/>
        <v>25804.433084364908</v>
      </c>
      <c r="H32" s="77">
        <f t="shared" si="8"/>
        <v>23864.631499542866</v>
      </c>
      <c r="I32" s="77">
        <f t="shared" si="8"/>
        <v>21925.089361818838</v>
      </c>
      <c r="J32" s="77">
        <f t="shared" si="8"/>
        <v>20199.814388809908</v>
      </c>
    </row>
    <row r="34" spans="3:10" x14ac:dyDescent="0.25">
      <c r="D34" s="78">
        <f>'Sch.1_CE Reg'!D33+'Sch.1_CE Reg'!D41</f>
        <v>166103.02151577102</v>
      </c>
      <c r="E34" s="78">
        <f>'Sch.1_CE Reg'!E33+'Sch.1_CE Reg'!E41</f>
        <v>336171.93026310182</v>
      </c>
      <c r="F34" s="78">
        <f>'Sch.1_CE Reg'!F33+'Sch.1_CE Reg'!F41</f>
        <v>341128.81671434251</v>
      </c>
      <c r="G34" s="78">
        <f>'Sch.1_CE Reg'!G33+'Sch.1_CE Reg'!G41</f>
        <v>346170.4718245698</v>
      </c>
      <c r="H34" s="78">
        <f>'Sch.1_CE Reg'!H33+'Sch.1_CE Reg'!H41</f>
        <v>351298.35676947591</v>
      </c>
      <c r="I34" s="78">
        <f>'Sch.1_CE Reg'!I33+'Sch.1_CE Reg'!I41</f>
        <v>356513.95811390819</v>
      </c>
      <c r="J34" s="78">
        <f>'Sch.1_CE Reg'!J33+'Sch.1_CE Reg'!J41</f>
        <v>241212.52550439406</v>
      </c>
    </row>
    <row r="35" spans="3:10" x14ac:dyDescent="0.25">
      <c r="D35" s="78">
        <f>D34*30%</f>
        <v>49830.906454731303</v>
      </c>
      <c r="E35" s="78">
        <f t="shared" ref="E35:J35" si="9">E34*30%</f>
        <v>100851.57907893055</v>
      </c>
      <c r="F35" s="78">
        <f t="shared" si="9"/>
        <v>102338.64501430275</v>
      </c>
      <c r="G35" s="78">
        <f t="shared" si="9"/>
        <v>103851.14154737093</v>
      </c>
      <c r="H35" s="78">
        <f t="shared" si="9"/>
        <v>105389.50703084277</v>
      </c>
      <c r="I35" s="78">
        <f t="shared" si="9"/>
        <v>106954.18743417245</v>
      </c>
      <c r="J35" s="78">
        <f t="shared" si="9"/>
        <v>72363.757651318214</v>
      </c>
    </row>
    <row r="38" spans="3:10" x14ac:dyDescent="0.25">
      <c r="C38" s="1" t="s">
        <v>171</v>
      </c>
      <c r="D38" s="79">
        <v>7.2999999999999995E-2</v>
      </c>
    </row>
  </sheetData>
  <mergeCells count="4">
    <mergeCell ref="A1:J2"/>
    <mergeCell ref="A3:A4"/>
    <mergeCell ref="B3:C4"/>
    <mergeCell ref="D3:J3"/>
  </mergeCells>
  <printOptions horizontalCentered="1" verticalCentered="1"/>
  <pageMargins left="0.45" right="0.34930555555555598" top="0.62291666666666701" bottom="0.30694444444444402" header="0.35763888888888901" footer="4.1666666666666699E-2"/>
  <pageSetup paperSize="8" scale="85" firstPageNumber="0" orientation="landscape" horizontalDpi="300" verticalDpi="300"/>
  <headerFooter>
    <oddHeader>&amp;C&amp;"Times New Roman,Normale"&amp;12&amp;A</oddHeader>
    <oddFooter>&amp;L_x000D_&amp;1#&amp;"Aptos"&amp;8&amp;K000000 LIMITED SHARING&amp;C&amp;"Times New Roman,Normale"&amp;12Pagina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FE8E4-0E83-48BD-8C03-9E4DE1BB6AC9}">
  <sheetPr>
    <tabColor rgb="FF006600"/>
  </sheetPr>
  <dimension ref="A1:O43"/>
  <sheetViews>
    <sheetView topLeftCell="A16" zoomScale="75" zoomScaleNormal="75" workbookViewId="0">
      <selection activeCell="A26" sqref="A26"/>
    </sheetView>
  </sheetViews>
  <sheetFormatPr defaultColWidth="11.7109375" defaultRowHeight="15" x14ac:dyDescent="0.25"/>
  <cols>
    <col min="1" max="1" width="14.5703125" style="1" customWidth="1"/>
    <col min="2" max="2" width="48.5703125" style="1" customWidth="1"/>
    <col min="3" max="3" width="19.5703125" style="1" customWidth="1"/>
    <col min="4" max="4" width="18.42578125" style="1" customWidth="1"/>
    <col min="5" max="5" width="20.42578125" style="1" customWidth="1"/>
    <col min="6" max="6" width="18.140625" style="1" customWidth="1"/>
    <col min="7" max="9" width="20.42578125" style="1" customWidth="1"/>
    <col min="10" max="10" width="11.7109375" style="1"/>
    <col min="11" max="11" width="24.85546875" style="1" customWidth="1"/>
    <col min="12" max="12" width="15.42578125" style="1" customWidth="1"/>
    <col min="13" max="16384" width="11.7109375" style="1"/>
  </cols>
  <sheetData>
    <row r="1" spans="1:10" ht="60" customHeight="1" x14ac:dyDescent="0.25">
      <c r="A1" s="213" t="s">
        <v>172</v>
      </c>
      <c r="B1" s="213"/>
      <c r="C1" s="213"/>
      <c r="D1" s="213"/>
      <c r="E1" s="213"/>
      <c r="F1" s="213"/>
      <c r="G1" s="213"/>
      <c r="H1" s="213"/>
      <c r="I1" s="213"/>
      <c r="J1" s="213"/>
    </row>
    <row r="2" spans="1:10" ht="17.45" customHeight="1" x14ac:dyDescent="0.25">
      <c r="A2" s="214" t="s">
        <v>173</v>
      </c>
      <c r="B2" s="214"/>
      <c r="C2" s="215" t="s">
        <v>4</v>
      </c>
      <c r="D2" s="215"/>
      <c r="E2" s="215"/>
      <c r="F2" s="215"/>
      <c r="G2" s="215"/>
      <c r="H2" s="215"/>
      <c r="I2" s="215"/>
      <c r="J2" s="216" t="s">
        <v>174</v>
      </c>
    </row>
    <row r="3" spans="1:10" ht="25.5" customHeight="1" x14ac:dyDescent="0.25">
      <c r="A3" s="214"/>
      <c r="B3" s="214"/>
      <c r="C3" s="37">
        <v>2026</v>
      </c>
      <c r="D3" s="37">
        <v>2027</v>
      </c>
      <c r="E3" s="37">
        <v>2028</v>
      </c>
      <c r="F3" s="37">
        <v>2029</v>
      </c>
      <c r="G3" s="37">
        <v>2030</v>
      </c>
      <c r="H3" s="37">
        <v>2031</v>
      </c>
      <c r="I3" s="37">
        <v>2032</v>
      </c>
      <c r="J3" s="216"/>
    </row>
    <row r="4" spans="1:10" ht="17.45" customHeight="1" x14ac:dyDescent="0.25">
      <c r="A4" s="217" t="s">
        <v>175</v>
      </c>
      <c r="B4" s="217"/>
      <c r="C4" s="217"/>
      <c r="D4" s="217"/>
      <c r="E4" s="217"/>
      <c r="F4" s="217"/>
      <c r="G4" s="217"/>
      <c r="H4" s="81"/>
      <c r="I4" s="81"/>
      <c r="J4" s="80"/>
    </row>
    <row r="5" spans="1:10" ht="37.5" x14ac:dyDescent="0.3">
      <c r="A5" s="82" t="s">
        <v>176</v>
      </c>
      <c r="B5" s="83" t="s">
        <v>177</v>
      </c>
      <c r="C5" s="84">
        <f>'Sch.1_CE Reg'!D10</f>
        <v>7835.261795822008</v>
      </c>
      <c r="D5" s="84">
        <f>'Sch.1_CE Reg'!E10</f>
        <v>15627.707953415478</v>
      </c>
      <c r="E5" s="84">
        <f>'Sch.1_CE Reg'!F10</f>
        <v>15627.707953415478</v>
      </c>
      <c r="F5" s="84">
        <f>'Sch.1_CE Reg'!G10</f>
        <v>15627.707953415478</v>
      </c>
      <c r="G5" s="84">
        <f>'Sch.1_CE Reg'!H10</f>
        <v>15627.707953415478</v>
      </c>
      <c r="H5" s="84">
        <f>'Sch.1_CE Reg'!I10</f>
        <v>15627.707953415478</v>
      </c>
      <c r="I5" s="84">
        <f>'Sch.1_CE Reg'!J10</f>
        <v>10418.471968943652</v>
      </c>
      <c r="J5" s="85" t="s">
        <v>178</v>
      </c>
    </row>
    <row r="6" spans="1:10" ht="37.5" x14ac:dyDescent="0.3">
      <c r="A6" s="82" t="s">
        <v>179</v>
      </c>
      <c r="B6" s="32" t="s">
        <v>180</v>
      </c>
      <c r="C6" s="84">
        <f>'Sch.1_CE Reg'!D11</f>
        <v>0</v>
      </c>
      <c r="D6" s="84">
        <f>'Sch.1_CE Reg'!E11</f>
        <v>0</v>
      </c>
      <c r="E6" s="84">
        <f>'Sch.1_CE Reg'!F11</f>
        <v>0</v>
      </c>
      <c r="F6" s="84">
        <f>'Sch.1_CE Reg'!G11</f>
        <v>0</v>
      </c>
      <c r="G6" s="84">
        <f>'Sch.1_CE Reg'!H11</f>
        <v>0</v>
      </c>
      <c r="H6" s="84">
        <f>'Sch.1_CE Reg'!I11</f>
        <v>0</v>
      </c>
      <c r="I6" s="84">
        <f>'Sch.1_CE Reg'!J11</f>
        <v>0</v>
      </c>
      <c r="J6" s="85" t="s">
        <v>181</v>
      </c>
    </row>
    <row r="7" spans="1:10" ht="23.25" customHeight="1" x14ac:dyDescent="0.3">
      <c r="A7" s="86" t="s">
        <v>182</v>
      </c>
      <c r="B7" s="87" t="s">
        <v>183</v>
      </c>
      <c r="C7" s="88">
        <f t="shared" ref="C7:I7" si="0">C5+C6</f>
        <v>7835.261795822008</v>
      </c>
      <c r="D7" s="88">
        <f t="shared" si="0"/>
        <v>15627.707953415478</v>
      </c>
      <c r="E7" s="88">
        <f t="shared" si="0"/>
        <v>15627.707953415478</v>
      </c>
      <c r="F7" s="88">
        <f t="shared" si="0"/>
        <v>15627.707953415478</v>
      </c>
      <c r="G7" s="88">
        <f t="shared" si="0"/>
        <v>15627.707953415478</v>
      </c>
      <c r="H7" s="88">
        <f t="shared" si="0"/>
        <v>15627.707953415478</v>
      </c>
      <c r="I7" s="88">
        <f t="shared" si="0"/>
        <v>10418.471968943652</v>
      </c>
      <c r="J7" s="89"/>
    </row>
    <row r="8" spans="1:10" ht="37.5" x14ac:dyDescent="0.3">
      <c r="A8" s="82" t="s">
        <v>184</v>
      </c>
      <c r="B8" s="83" t="s">
        <v>185</v>
      </c>
      <c r="C8" s="84">
        <f>'Sch.1_CE Reg'!D33</f>
        <v>144017.81206754746</v>
      </c>
      <c r="D8" s="84">
        <f>'Sch.1_CE Reg'!E33</f>
        <v>292122.19557128981</v>
      </c>
      <c r="E8" s="84">
        <f>'Sch.1_CE Reg'!F33</f>
        <v>297079.08202253049</v>
      </c>
      <c r="F8" s="84">
        <f>'Sch.1_CE Reg'!G33</f>
        <v>302120.73713275779</v>
      </c>
      <c r="G8" s="84">
        <f>'Sch.1_CE Reg'!H33</f>
        <v>307248.62207766389</v>
      </c>
      <c r="H8" s="84">
        <f>'Sch.1_CE Reg'!I33</f>
        <v>312464.22342209617</v>
      </c>
      <c r="I8" s="84">
        <f>'Sch.1_CE Reg'!J33</f>
        <v>211846.0357098527</v>
      </c>
      <c r="J8" s="85" t="s">
        <v>186</v>
      </c>
    </row>
    <row r="9" spans="1:10" ht="37.5" x14ac:dyDescent="0.3">
      <c r="A9" s="82" t="s">
        <v>187</v>
      </c>
      <c r="B9" s="83" t="s">
        <v>188</v>
      </c>
      <c r="C9" s="84">
        <f>'Sch.1_CE Reg'!D41</f>
        <v>22085.209448223563</v>
      </c>
      <c r="D9" s="84">
        <f>'Sch.1_CE Reg'!E41</f>
        <v>44049.734691812024</v>
      </c>
      <c r="E9" s="84">
        <f>'Sch.1_CE Reg'!F41</f>
        <v>44049.734691812024</v>
      </c>
      <c r="F9" s="84">
        <f>'Sch.1_CE Reg'!G41</f>
        <v>44049.734691812024</v>
      </c>
      <c r="G9" s="84">
        <f>'Sch.1_CE Reg'!H41</f>
        <v>44049.734691812024</v>
      </c>
      <c r="H9" s="84">
        <f>'Sch.1_CE Reg'!I41</f>
        <v>44049.734691812024</v>
      </c>
      <c r="I9" s="84">
        <f>'Sch.1_CE Reg'!J41</f>
        <v>29366.48979454135</v>
      </c>
      <c r="J9" s="85" t="s">
        <v>189</v>
      </c>
    </row>
    <row r="10" spans="1:10" ht="56.25" x14ac:dyDescent="0.3">
      <c r="A10" s="82" t="s">
        <v>190</v>
      </c>
      <c r="B10" s="83" t="s">
        <v>191</v>
      </c>
      <c r="C10" s="90">
        <f t="shared" ref="C10:I10" si="1">C8+C9</f>
        <v>166103.02151577102</v>
      </c>
      <c r="D10" s="90">
        <f t="shared" si="1"/>
        <v>336171.93026310182</v>
      </c>
      <c r="E10" s="90">
        <f t="shared" si="1"/>
        <v>341128.81671434251</v>
      </c>
      <c r="F10" s="90">
        <f t="shared" si="1"/>
        <v>346170.4718245698</v>
      </c>
      <c r="G10" s="90">
        <f t="shared" si="1"/>
        <v>351298.35676947591</v>
      </c>
      <c r="H10" s="90">
        <f t="shared" si="1"/>
        <v>356513.95811390819</v>
      </c>
      <c r="I10" s="90">
        <f t="shared" si="1"/>
        <v>241212.52550439406</v>
      </c>
      <c r="J10" s="85" t="s">
        <v>192</v>
      </c>
    </row>
    <row r="11" spans="1:10" ht="37.5" x14ac:dyDescent="0.3">
      <c r="A11" s="91" t="s">
        <v>193</v>
      </c>
      <c r="B11" s="83" t="s">
        <v>194</v>
      </c>
      <c r="C11" s="90">
        <f>'Sch.2_SP Reg'!D32</f>
        <v>31480.789347582628</v>
      </c>
      <c r="D11" s="90">
        <f>'Sch.2_SP Reg'!E32</f>
        <v>29684.800560500611</v>
      </c>
      <c r="E11" s="90">
        <f>'Sch.2_SP Reg'!F32</f>
        <v>27744.490596233212</v>
      </c>
      <c r="F11" s="90">
        <f>'Sch.2_SP Reg'!G32</f>
        <v>25804.433084364908</v>
      </c>
      <c r="G11" s="90">
        <f>'Sch.2_SP Reg'!H32</f>
        <v>23864.631499542866</v>
      </c>
      <c r="H11" s="90">
        <f>'Sch.2_SP Reg'!I32</f>
        <v>21925.089361818838</v>
      </c>
      <c r="I11" s="90">
        <f>'Sch.2_SP Reg'!J32</f>
        <v>20199.814388809908</v>
      </c>
      <c r="J11" s="85" t="s">
        <v>195</v>
      </c>
    </row>
    <row r="12" spans="1:10" ht="37.5" x14ac:dyDescent="0.3">
      <c r="A12" s="86" t="s">
        <v>196</v>
      </c>
      <c r="B12" s="87" t="s">
        <v>197</v>
      </c>
      <c r="C12" s="92">
        <f t="shared" ref="C12:I12" si="2">C10+C11</f>
        <v>197583.81086335366</v>
      </c>
      <c r="D12" s="92">
        <f t="shared" si="2"/>
        <v>365856.73082360241</v>
      </c>
      <c r="E12" s="92">
        <f t="shared" si="2"/>
        <v>368873.30731057574</v>
      </c>
      <c r="F12" s="92">
        <f t="shared" si="2"/>
        <v>371974.90490893472</v>
      </c>
      <c r="G12" s="92">
        <f t="shared" si="2"/>
        <v>375162.98826901877</v>
      </c>
      <c r="H12" s="92">
        <f t="shared" si="2"/>
        <v>378439.04747572704</v>
      </c>
      <c r="I12" s="92">
        <f t="shared" si="2"/>
        <v>261412.33989320396</v>
      </c>
      <c r="J12" s="93" t="s">
        <v>192</v>
      </c>
    </row>
    <row r="13" spans="1:10" ht="30.4" customHeight="1" x14ac:dyDescent="0.25">
      <c r="A13" s="217" t="s">
        <v>198</v>
      </c>
      <c r="B13" s="217"/>
      <c r="C13" s="217"/>
      <c r="D13" s="217"/>
      <c r="E13" s="217"/>
      <c r="F13" s="217"/>
      <c r="G13" s="217"/>
      <c r="H13" s="81"/>
      <c r="I13" s="81"/>
      <c r="J13" s="80"/>
    </row>
    <row r="14" spans="1:10" ht="18.75" x14ac:dyDescent="0.3">
      <c r="A14" s="94" t="s">
        <v>199</v>
      </c>
      <c r="B14" s="95" t="s">
        <v>200</v>
      </c>
      <c r="C14" s="96"/>
      <c r="D14" s="96"/>
      <c r="E14" s="96"/>
      <c r="F14" s="96"/>
      <c r="G14" s="96"/>
      <c r="H14" s="96"/>
      <c r="I14" s="96"/>
      <c r="J14" s="97" t="s">
        <v>201</v>
      </c>
    </row>
    <row r="15" spans="1:10" ht="37.5" x14ac:dyDescent="0.3">
      <c r="A15" s="94" t="s">
        <v>202</v>
      </c>
      <c r="B15" s="95" t="s">
        <v>203</v>
      </c>
      <c r="C15" s="96"/>
      <c r="D15" s="96"/>
      <c r="E15" s="96"/>
      <c r="F15" s="96"/>
      <c r="G15" s="96"/>
      <c r="H15" s="96"/>
      <c r="I15" s="96"/>
      <c r="J15" s="97" t="s">
        <v>201</v>
      </c>
    </row>
    <row r="16" spans="1:10" ht="51.95" customHeight="1" x14ac:dyDescent="0.25">
      <c r="A16" s="94" t="s">
        <v>204</v>
      </c>
      <c r="B16" s="95" t="s">
        <v>205</v>
      </c>
      <c r="C16" s="98"/>
      <c r="D16" s="98"/>
      <c r="E16" s="98"/>
      <c r="F16" s="98"/>
      <c r="G16" s="98"/>
      <c r="H16" s="98"/>
      <c r="I16" s="98"/>
      <c r="J16" s="99" t="s">
        <v>192</v>
      </c>
    </row>
    <row r="17" spans="1:15" ht="49.7" customHeight="1" x14ac:dyDescent="0.25">
      <c r="A17" s="94" t="s">
        <v>206</v>
      </c>
      <c r="B17" s="95" t="s">
        <v>207</v>
      </c>
      <c r="C17" s="98"/>
      <c r="D17" s="98"/>
      <c r="E17" s="98"/>
      <c r="F17" s="98"/>
      <c r="G17" s="98"/>
      <c r="H17" s="98"/>
      <c r="I17" s="98"/>
      <c r="J17" s="99" t="s">
        <v>192</v>
      </c>
      <c r="O17" s="100">
        <v>46204</v>
      </c>
    </row>
    <row r="18" spans="1:15" ht="39.200000000000003" customHeight="1" x14ac:dyDescent="0.3">
      <c r="A18" s="94" t="s">
        <v>208</v>
      </c>
      <c r="B18" s="95" t="s">
        <v>209</v>
      </c>
      <c r="C18" s="96"/>
      <c r="D18" s="96"/>
      <c r="E18" s="96"/>
      <c r="F18" s="96"/>
      <c r="G18" s="96"/>
      <c r="H18" s="96"/>
      <c r="I18" s="96"/>
      <c r="J18" s="97" t="s">
        <v>192</v>
      </c>
      <c r="O18" s="100">
        <v>48457</v>
      </c>
    </row>
    <row r="19" spans="1:15" ht="27.2" customHeight="1" x14ac:dyDescent="0.25">
      <c r="A19" s="217" t="s">
        <v>210</v>
      </c>
      <c r="B19" s="217"/>
      <c r="C19" s="217"/>
      <c r="D19" s="217"/>
      <c r="E19" s="217"/>
      <c r="F19" s="217"/>
      <c r="G19" s="217"/>
      <c r="H19" s="81"/>
      <c r="I19" s="81"/>
      <c r="J19" s="80"/>
      <c r="O19" s="1">
        <f>O18-O17+1</f>
        <v>2254</v>
      </c>
    </row>
    <row r="20" spans="1:15" ht="20.85" customHeight="1" x14ac:dyDescent="0.25">
      <c r="A20" s="217" t="s">
        <v>211</v>
      </c>
      <c r="B20" s="217"/>
      <c r="C20" s="217"/>
      <c r="D20" s="217"/>
      <c r="E20" s="217"/>
      <c r="F20" s="217"/>
      <c r="G20" s="217"/>
      <c r="H20" s="81"/>
      <c r="I20" s="81"/>
      <c r="J20" s="80"/>
      <c r="O20" s="1">
        <f>O19/365</f>
        <v>6.1753424657534248</v>
      </c>
    </row>
    <row r="21" spans="1:15" ht="28.7" customHeight="1" x14ac:dyDescent="0.3">
      <c r="A21" s="86" t="s">
        <v>212</v>
      </c>
      <c r="B21" s="87" t="s">
        <v>213</v>
      </c>
      <c r="C21" s="88">
        <f t="shared" ref="C21:I21" si="3">C12-C7</f>
        <v>189748.54906753165</v>
      </c>
      <c r="D21" s="88">
        <f t="shared" si="3"/>
        <v>350229.02287018695</v>
      </c>
      <c r="E21" s="88">
        <f t="shared" si="3"/>
        <v>353245.59935716027</v>
      </c>
      <c r="F21" s="88">
        <f t="shared" si="3"/>
        <v>356347.19695551926</v>
      </c>
      <c r="G21" s="88">
        <f t="shared" si="3"/>
        <v>359535.2803156033</v>
      </c>
      <c r="H21" s="88">
        <f t="shared" si="3"/>
        <v>362811.33952231158</v>
      </c>
      <c r="I21" s="88">
        <f t="shared" si="3"/>
        <v>250993.8679242603</v>
      </c>
      <c r="J21" s="93" t="s">
        <v>192</v>
      </c>
      <c r="K21" s="101">
        <f>SUM(C21:I21)</f>
        <v>2222910.8560125735</v>
      </c>
    </row>
    <row r="22" spans="1:15" ht="17.45" customHeight="1" x14ac:dyDescent="0.25">
      <c r="A22" s="82" t="s">
        <v>214</v>
      </c>
      <c r="B22" s="83" t="s">
        <v>215</v>
      </c>
      <c r="C22" s="102">
        <f>NPV($C$30,C21:I21)</f>
        <v>1679586.5496363069</v>
      </c>
      <c r="D22" s="212" t="s">
        <v>216</v>
      </c>
      <c r="E22" s="212"/>
      <c r="F22" s="212"/>
      <c r="G22" s="103"/>
      <c r="H22" s="103"/>
      <c r="I22" s="103"/>
      <c r="J22" s="85" t="s">
        <v>192</v>
      </c>
      <c r="K22" s="101"/>
    </row>
    <row r="23" spans="1:15" ht="22.5" customHeight="1" x14ac:dyDescent="0.25">
      <c r="A23" s="82" t="s">
        <v>217</v>
      </c>
      <c r="B23" s="83" t="s">
        <v>218</v>
      </c>
      <c r="C23" s="102">
        <f>-PMT(C30,O20,C22)</f>
        <v>347530.16417595313</v>
      </c>
      <c r="D23" s="218" t="s">
        <v>219</v>
      </c>
      <c r="E23" s="218"/>
      <c r="F23" s="218"/>
      <c r="G23" s="103"/>
      <c r="H23" s="103"/>
      <c r="I23" s="103"/>
      <c r="J23" s="85" t="s">
        <v>192</v>
      </c>
      <c r="K23" s="101">
        <f>C23*8</f>
        <v>2780241.3134076251</v>
      </c>
    </row>
    <row r="24" spans="1:15" ht="37.5" x14ac:dyDescent="0.3">
      <c r="A24" s="104" t="s">
        <v>220</v>
      </c>
      <c r="B24" s="83" t="s">
        <v>221</v>
      </c>
      <c r="C24" s="90">
        <f t="shared" ref="C24:I24" si="4">$C$23-C21</f>
        <v>157781.61510842148</v>
      </c>
      <c r="D24" s="90">
        <f t="shared" si="4"/>
        <v>-2698.8586942338152</v>
      </c>
      <c r="E24" s="90">
        <f t="shared" si="4"/>
        <v>-5715.43518120714</v>
      </c>
      <c r="F24" s="90">
        <f t="shared" si="4"/>
        <v>-8817.0327795661287</v>
      </c>
      <c r="G24" s="90">
        <f t="shared" si="4"/>
        <v>-12005.11613965017</v>
      </c>
      <c r="H24" s="90">
        <f t="shared" si="4"/>
        <v>-15281.175346358446</v>
      </c>
      <c r="I24" s="90">
        <f t="shared" si="4"/>
        <v>96536.296251692838</v>
      </c>
      <c r="J24" s="105" t="s">
        <v>192</v>
      </c>
      <c r="K24" s="101">
        <f>SUM(C24:I24)</f>
        <v>209800.29321909862</v>
      </c>
    </row>
    <row r="25" spans="1:15" ht="28.7" customHeight="1" x14ac:dyDescent="0.3">
      <c r="A25" s="82" t="s">
        <v>222</v>
      </c>
      <c r="B25" s="32" t="s">
        <v>223</v>
      </c>
      <c r="C25" s="90">
        <f>C40*'EBIT &amp; Costi interni AT'!D8</f>
        <v>170039.5890410959</v>
      </c>
      <c r="D25" s="90">
        <f>D40*'EBIT &amp; Costi interni AT'!E8</f>
        <v>344338.995</v>
      </c>
      <c r="E25" s="90">
        <f>E40*'EBIT &amp; Costi interni AT'!F8</f>
        <v>349607.38162350003</v>
      </c>
      <c r="F25" s="90">
        <f>F40*'EBIT &amp; Costi interni AT'!G8</f>
        <v>354956.37456233957</v>
      </c>
      <c r="G25" s="90">
        <f>G40*'EBIT &amp; Costi interni AT'!H8</f>
        <v>360387.20709314337</v>
      </c>
      <c r="H25" s="90">
        <f>H40*'EBIT &amp; Costi interni AT'!I8</f>
        <v>365901.13136166852</v>
      </c>
      <c r="I25" s="90">
        <f>I40*'EBIT &amp; Costi interni AT'!J8</f>
        <v>247666.27911433473</v>
      </c>
      <c r="J25" s="85" t="s">
        <v>224</v>
      </c>
      <c r="K25" s="101">
        <f>SUM(C25:I25)</f>
        <v>2192896.9577960819</v>
      </c>
      <c r="L25" s="101">
        <f>K21-K25</f>
        <v>30013.898216491565</v>
      </c>
    </row>
    <row r="26" spans="1:15" ht="39.950000000000003" customHeight="1" x14ac:dyDescent="0.3">
      <c r="A26" s="82" t="s">
        <v>225</v>
      </c>
      <c r="B26" s="83" t="s">
        <v>226</v>
      </c>
      <c r="C26" s="90">
        <f>C25-C21</f>
        <v>-19708.960026435758</v>
      </c>
      <c r="D26" s="90">
        <f t="shared" ref="D26:I26" si="5">D25-D21</f>
        <v>-5890.0278701869538</v>
      </c>
      <c r="E26" s="90">
        <f t="shared" si="5"/>
        <v>-3638.2177336602472</v>
      </c>
      <c r="F26" s="90">
        <f t="shared" si="5"/>
        <v>-1390.8223931796965</v>
      </c>
      <c r="G26" s="90">
        <f t="shared" si="5"/>
        <v>851.92677754006581</v>
      </c>
      <c r="H26" s="90">
        <f t="shared" si="5"/>
        <v>3089.7918393569416</v>
      </c>
      <c r="I26" s="90">
        <f t="shared" si="5"/>
        <v>-3327.5888099255681</v>
      </c>
      <c r="J26" s="85" t="s">
        <v>192</v>
      </c>
      <c r="K26" s="101">
        <f>SUM(C26:I26)</f>
        <v>-30013.898216491216</v>
      </c>
    </row>
    <row r="27" spans="1:15" ht="17.45" customHeight="1" x14ac:dyDescent="0.25">
      <c r="A27" s="219" t="s">
        <v>227</v>
      </c>
      <c r="B27" s="219"/>
      <c r="C27" s="219"/>
      <c r="D27" s="219"/>
      <c r="E27" s="219"/>
      <c r="F27" s="219"/>
      <c r="G27" s="219"/>
      <c r="H27" s="106"/>
      <c r="I27" s="106"/>
      <c r="J27" s="107"/>
      <c r="K27" s="101"/>
      <c r="L27" s="33"/>
    </row>
    <row r="28" spans="1:15" ht="44.1" customHeight="1" x14ac:dyDescent="0.3">
      <c r="A28" s="108" t="s">
        <v>228</v>
      </c>
      <c r="B28" s="107" t="s">
        <v>229</v>
      </c>
      <c r="C28" s="109" t="str">
        <f>IF(TRUNC(NPV($C$30,C24:I24),1)=0, "si", "no")</f>
        <v>no</v>
      </c>
      <c r="D28" s="212" t="s">
        <v>230</v>
      </c>
      <c r="E28" s="212"/>
      <c r="F28" s="212"/>
      <c r="G28" s="110"/>
      <c r="H28" s="110"/>
      <c r="I28" s="110"/>
      <c r="J28" s="111" t="s">
        <v>192</v>
      </c>
      <c r="K28" s="101">
        <f>K26-K24</f>
        <v>-239814.19143558983</v>
      </c>
    </row>
    <row r="29" spans="1:15" ht="46.5" customHeight="1" x14ac:dyDescent="0.3">
      <c r="A29" s="108" t="s">
        <v>231</v>
      </c>
      <c r="B29" s="107" t="s">
        <v>232</v>
      </c>
      <c r="C29" s="109" t="str">
        <f>IF(TRUNC(NPV($C$30,C26:I26),1)=0,"si","no")</f>
        <v>no</v>
      </c>
      <c r="D29" s="212" t="s">
        <v>233</v>
      </c>
      <c r="E29" s="212"/>
      <c r="F29" s="212"/>
      <c r="G29" s="110"/>
      <c r="H29" s="110"/>
      <c r="I29" s="110"/>
      <c r="J29" s="111" t="s">
        <v>192</v>
      </c>
      <c r="K29" s="101">
        <v>-4.08765324391425E-3</v>
      </c>
    </row>
    <row r="30" spans="1:15" ht="18.75" x14ac:dyDescent="0.25">
      <c r="A30" s="108" t="s">
        <v>234</v>
      </c>
      <c r="B30" s="87" t="s">
        <v>235</v>
      </c>
      <c r="C30" s="112">
        <f>'Sch.2_SP Reg'!D31</f>
        <v>7.2999999999999995E-2</v>
      </c>
      <c r="D30" s="113"/>
      <c r="E30" s="113"/>
      <c r="F30" s="113"/>
      <c r="G30" s="113"/>
      <c r="H30" s="113"/>
      <c r="I30" s="113"/>
      <c r="J30" s="93" t="s">
        <v>236</v>
      </c>
    </row>
    <row r="31" spans="1:15" ht="26.45" customHeight="1" x14ac:dyDescent="0.25">
      <c r="A31" s="217" t="s">
        <v>237</v>
      </c>
      <c r="B31" s="217"/>
      <c r="C31" s="217"/>
      <c r="D31" s="217"/>
      <c r="E31" s="217"/>
      <c r="F31" s="217"/>
      <c r="G31" s="217"/>
      <c r="H31" s="81"/>
      <c r="I31" s="81"/>
      <c r="J31" s="80"/>
      <c r="K31" s="33"/>
    </row>
    <row r="32" spans="1:15" ht="37.5" x14ac:dyDescent="0.3">
      <c r="A32" s="94" t="s">
        <v>238</v>
      </c>
      <c r="B32" s="95" t="s">
        <v>239</v>
      </c>
      <c r="C32" s="96"/>
      <c r="D32" s="221"/>
      <c r="E32" s="221"/>
      <c r="F32" s="221"/>
      <c r="G32" s="110"/>
      <c r="H32" s="110"/>
      <c r="I32" s="110"/>
      <c r="J32" s="97" t="s">
        <v>201</v>
      </c>
    </row>
    <row r="33" spans="1:10" ht="18.75" x14ac:dyDescent="0.3">
      <c r="A33" s="94" t="s">
        <v>240</v>
      </c>
      <c r="B33" s="95" t="s">
        <v>241</v>
      </c>
      <c r="C33" s="96"/>
      <c r="D33" s="221"/>
      <c r="E33" s="221"/>
      <c r="F33" s="221"/>
      <c r="G33" s="110"/>
      <c r="H33" s="110"/>
      <c r="I33" s="110"/>
      <c r="J33" s="97" t="s">
        <v>242</v>
      </c>
    </row>
    <row r="34" spans="1:10" ht="26.45" customHeight="1" x14ac:dyDescent="0.3">
      <c r="A34" s="94" t="s">
        <v>243</v>
      </c>
      <c r="B34" s="114" t="s">
        <v>244</v>
      </c>
      <c r="C34" s="96"/>
      <c r="D34" s="221"/>
      <c r="E34" s="221"/>
      <c r="F34" s="221"/>
      <c r="G34" s="110"/>
      <c r="H34" s="110"/>
      <c r="I34" s="110"/>
      <c r="J34" s="97" t="s">
        <v>242</v>
      </c>
    </row>
    <row r="35" spans="1:10" ht="13.7" customHeight="1" x14ac:dyDescent="0.25">
      <c r="A35" s="222" t="s">
        <v>245</v>
      </c>
      <c r="B35" s="222"/>
      <c r="C35" s="222"/>
      <c r="D35" s="222"/>
      <c r="E35" s="222"/>
      <c r="F35" s="222"/>
      <c r="G35" s="222"/>
      <c r="H35" s="222"/>
      <c r="I35" s="222"/>
    </row>
    <row r="36" spans="1:10" ht="84.75" customHeight="1" x14ac:dyDescent="0.25">
      <c r="A36" s="220" t="s">
        <v>246</v>
      </c>
      <c r="B36" s="220"/>
      <c r="C36" s="220"/>
      <c r="D36" s="220"/>
      <c r="E36" s="220"/>
      <c r="F36" s="220"/>
      <c r="G36" s="220"/>
      <c r="H36" s="220"/>
      <c r="I36" s="220"/>
    </row>
    <row r="38" spans="1:10" x14ac:dyDescent="0.25">
      <c r="B38" s="1" t="s">
        <v>247</v>
      </c>
      <c r="C38" s="33">
        <f>C23/SUM('EBIT &amp; Costi interni AT'!E9:E10)</f>
        <v>2.3754625029115046</v>
      </c>
      <c r="D38" s="33"/>
      <c r="E38" s="33"/>
      <c r="F38" s="33"/>
      <c r="G38" s="33"/>
      <c r="H38" s="33"/>
      <c r="I38" s="33"/>
    </row>
    <row r="39" spans="1:10" x14ac:dyDescent="0.25">
      <c r="B39" s="1" t="s">
        <v>248</v>
      </c>
      <c r="C39" s="33">
        <f>C21/'EBIT &amp; Costi interni AT'!D8</f>
        <v>2.8455655700583034</v>
      </c>
      <c r="D39" s="33">
        <f>D21/'EBIT &amp; Costi interni AT'!E8</f>
        <v>2.6333009238359919</v>
      </c>
      <c r="E39" s="33">
        <f>E21/'EBIT &amp; Costi interni AT'!F8</f>
        <v>2.6559819500538366</v>
      </c>
      <c r="F39" s="33">
        <f>F21/'EBIT &amp; Costi interni AT'!G8</f>
        <v>2.679302232748265</v>
      </c>
      <c r="G39" s="33">
        <f>G21/'EBIT &amp; Costi interni AT'!H8</f>
        <v>2.7032727843278446</v>
      </c>
      <c r="H39" s="33">
        <f>H21/'EBIT &amp; Costi interni AT'!I8</f>
        <v>2.7279048084384327</v>
      </c>
      <c r="I39" s="33">
        <f>I21/'EBIT &amp; Costi interni AT'!J8</f>
        <v>2.830757908920229</v>
      </c>
    </row>
    <row r="40" spans="1:10" x14ac:dyDescent="0.25">
      <c r="B40" s="1" t="s">
        <v>249</v>
      </c>
      <c r="C40" s="33">
        <f>'EBIT &amp; Costi interni AT'!D11</f>
        <v>2.5499999999999998</v>
      </c>
      <c r="D40" s="33">
        <f>'EBIT &amp; Costi interni AT'!E11</f>
        <v>2.5890149999999998</v>
      </c>
      <c r="E40" s="33">
        <f>'EBIT &amp; Costi interni AT'!F11</f>
        <v>2.6286269295000002</v>
      </c>
      <c r="F40" s="33">
        <f>'EBIT &amp; Costi interni AT'!G11</f>
        <v>2.6688449215213503</v>
      </c>
      <c r="G40" s="33">
        <f>'EBIT &amp; Costi interni AT'!H11</f>
        <v>2.709678248820627</v>
      </c>
      <c r="H40" s="33">
        <f>'EBIT &amp; Costi interni AT'!I11</f>
        <v>2.751136326027583</v>
      </c>
      <c r="I40" s="33">
        <f>'EBIT &amp; Costi interni AT'!J11</f>
        <v>2.7932287118158055</v>
      </c>
    </row>
    <row r="41" spans="1:10" x14ac:dyDescent="0.25">
      <c r="B41" s="1" t="s">
        <v>250</v>
      </c>
      <c r="D41" s="79">
        <f>(D40-C40)/C40</f>
        <v>1.530000000000001E-2</v>
      </c>
      <c r="E41" s="79">
        <f t="shared" ref="E41:I41" si="6">(E40-D40)/D40</f>
        <v>1.5300000000000142E-2</v>
      </c>
      <c r="F41" s="79">
        <f t="shared" si="6"/>
        <v>1.5300000000000046E-2</v>
      </c>
      <c r="G41" s="79">
        <f t="shared" si="6"/>
        <v>1.5300000000000012E-2</v>
      </c>
      <c r="H41" s="79">
        <f t="shared" si="6"/>
        <v>1.5300000000000126E-2</v>
      </c>
      <c r="I41" s="79">
        <f t="shared" si="6"/>
        <v>1.5300000000000175E-2</v>
      </c>
    </row>
    <row r="42" spans="1:10" x14ac:dyDescent="0.25">
      <c r="E42" s="79"/>
      <c r="F42" s="79"/>
      <c r="G42" s="79"/>
      <c r="H42" s="79"/>
      <c r="I42" s="79"/>
    </row>
    <row r="43" spans="1:10" x14ac:dyDescent="0.25">
      <c r="B43" s="115">
        <f>NPV(C30,C26:I26)</f>
        <v>-26886.712172817784</v>
      </c>
      <c r="C43" s="33"/>
      <c r="E43" s="116"/>
      <c r="F43" s="116"/>
      <c r="G43" s="116"/>
      <c r="H43" s="116"/>
      <c r="I43" s="116"/>
    </row>
  </sheetData>
  <mergeCells count="19">
    <mergeCell ref="A36:I36"/>
    <mergeCell ref="D29:F29"/>
    <mergeCell ref="A31:G31"/>
    <mergeCell ref="D32:F32"/>
    <mergeCell ref="D33:F33"/>
    <mergeCell ref="D34:F34"/>
    <mergeCell ref="A35:I35"/>
    <mergeCell ref="D28:F28"/>
    <mergeCell ref="A1:J1"/>
    <mergeCell ref="A2:B3"/>
    <mergeCell ref="C2:I2"/>
    <mergeCell ref="J2:J3"/>
    <mergeCell ref="A4:G4"/>
    <mergeCell ref="A13:G13"/>
    <mergeCell ref="A19:G19"/>
    <mergeCell ref="A20:G20"/>
    <mergeCell ref="D22:F22"/>
    <mergeCell ref="D23:F23"/>
    <mergeCell ref="A27:G27"/>
  </mergeCells>
  <printOptions horizontalCentered="1" verticalCentered="1"/>
  <pageMargins left="0.78749999999999998" right="0.78749999999999998" top="0.50833333333333297" bottom="0.30694444444444402" header="0.243055555555556" footer="4.1666666666666699E-2"/>
  <pageSetup paperSize="8" scale="65" firstPageNumber="0" orientation="landscape" horizontalDpi="300" verticalDpi="300"/>
  <headerFooter>
    <oddHeader>&amp;C&amp;"Times New Roman,Normale"&amp;12&amp;A</oddHeader>
    <oddFooter>&amp;L_x000D_&amp;1#&amp;"Aptos"&amp;8&amp;K000000 LIMITED SHARING&amp;C&amp;"Times New Roman,Normale"&amp;12Pagina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047A8-9823-475E-AB5B-82ECADB66480}">
  <sheetPr>
    <tabColor theme="1"/>
  </sheetPr>
  <dimension ref="A1"/>
  <sheetViews>
    <sheetView showGridLines="0" workbookViewId="0">
      <selection activeCell="J22" sqref="J22"/>
    </sheetView>
  </sheetViews>
  <sheetFormatPr defaultRowHeight="15" x14ac:dyDescent="0.25"/>
  <sheetData/>
  <pageMargins left="0.7" right="0.7" top="0.75" bottom="0.75" header="0.3" footer="0.3"/>
  <headerFooter>
    <oddFooter>&amp;L_x000D_&amp;1#&amp;"Aptos"&amp;8&amp;K000000 LIMITED SHARING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5A1C8-7209-4AF0-9781-96ED96379D42}">
  <sheetPr>
    <tabColor rgb="FF002060"/>
    <pageSetUpPr fitToPage="1"/>
  </sheetPr>
  <dimension ref="B2:S79"/>
  <sheetViews>
    <sheetView showGridLines="0" tabSelected="1" zoomScaleNormal="100" workbookViewId="0">
      <selection activeCell="D21" sqref="D21"/>
    </sheetView>
  </sheetViews>
  <sheetFormatPr defaultColWidth="11.42578125" defaultRowHeight="16.5" x14ac:dyDescent="0.3"/>
  <cols>
    <col min="1" max="1" width="4.140625" style="118" customWidth="1"/>
    <col min="2" max="2" width="50.5703125" style="118" customWidth="1"/>
    <col min="3" max="3" width="15.5703125" style="118" customWidth="1"/>
    <col min="4" max="10" width="12.5703125" style="118" bestFit="1" customWidth="1"/>
    <col min="11" max="11" width="67" style="118" customWidth="1"/>
    <col min="12" max="12" width="21.42578125" style="118" customWidth="1"/>
    <col min="13" max="13" width="25.85546875" style="118" customWidth="1"/>
    <col min="14" max="15" width="17.5703125" style="118" customWidth="1"/>
    <col min="16" max="16" width="12.85546875" style="118" customWidth="1"/>
    <col min="17" max="18" width="11.42578125" style="118" customWidth="1"/>
    <col min="19" max="16384" width="11.42578125" style="118"/>
  </cols>
  <sheetData>
    <row r="2" spans="2:18" ht="18" x14ac:dyDescent="0.3">
      <c r="B2" s="117" t="s">
        <v>251</v>
      </c>
      <c r="C2" s="118" t="s">
        <v>348</v>
      </c>
      <c r="D2" s="132">
        <v>46204</v>
      </c>
      <c r="F2" s="118" t="s">
        <v>349</v>
      </c>
      <c r="G2" s="132">
        <v>48457</v>
      </c>
    </row>
    <row r="4" spans="2:18" x14ac:dyDescent="0.3">
      <c r="D4" s="119">
        <v>0.50136986301369868</v>
      </c>
      <c r="E4" s="120">
        <v>1</v>
      </c>
      <c r="F4" s="120">
        <v>1</v>
      </c>
      <c r="G4" s="120">
        <v>1</v>
      </c>
      <c r="H4" s="120">
        <v>1</v>
      </c>
      <c r="I4" s="120">
        <v>1</v>
      </c>
      <c r="J4" s="120">
        <v>0.66666666666666663</v>
      </c>
      <c r="K4" s="139" t="s">
        <v>350</v>
      </c>
      <c r="O4" s="197"/>
      <c r="R4" s="198"/>
    </row>
    <row r="5" spans="2:18" x14ac:dyDescent="0.3">
      <c r="C5" s="122" t="s">
        <v>252</v>
      </c>
      <c r="D5" s="123">
        <v>2026</v>
      </c>
      <c r="E5" s="123">
        <v>2027</v>
      </c>
      <c r="F5" s="123">
        <v>2028</v>
      </c>
      <c r="G5" s="123">
        <v>2029</v>
      </c>
      <c r="H5" s="123">
        <v>2030</v>
      </c>
      <c r="I5" s="123">
        <v>2031</v>
      </c>
      <c r="J5" s="123">
        <v>2032</v>
      </c>
    </row>
    <row r="6" spans="2:18" ht="17.100000000000001" customHeight="1" x14ac:dyDescent="0.3">
      <c r="B6" s="124" t="s">
        <v>253</v>
      </c>
      <c r="C6" s="125">
        <v>150690.15062236175</v>
      </c>
      <c r="D6" s="126">
        <v>11771.829321146914</v>
      </c>
      <c r="E6" s="127">
        <v>23794.772690313635</v>
      </c>
      <c r="F6" s="127">
        <v>24106.272862572921</v>
      </c>
      <c r="G6" s="127">
        <v>24413.610691185226</v>
      </c>
      <c r="H6" s="127">
        <v>24716.558277082921</v>
      </c>
      <c r="I6" s="127">
        <v>25014.881201175798</v>
      </c>
      <c r="J6" s="127">
        <v>16872.225578884332</v>
      </c>
      <c r="K6" s="128"/>
    </row>
    <row r="7" spans="2:18" x14ac:dyDescent="0.3">
      <c r="B7" s="129" t="s">
        <v>254</v>
      </c>
      <c r="C7" s="130">
        <v>2.2938832671246825</v>
      </c>
      <c r="D7" s="131">
        <v>2.188452961680706</v>
      </c>
      <c r="E7" s="131">
        <v>2.2217650192049647</v>
      </c>
      <c r="F7" s="131">
        <v>2.2556466764246554</v>
      </c>
      <c r="G7" s="131">
        <v>2.2901077503154772</v>
      </c>
      <c r="H7" s="131">
        <v>2.3251582284077954</v>
      </c>
      <c r="I7" s="131">
        <v>2.3608082717737027</v>
      </c>
      <c r="J7" s="131">
        <v>2.3970682180668188</v>
      </c>
      <c r="L7" s="132"/>
      <c r="M7" s="132"/>
    </row>
    <row r="8" spans="2:18" x14ac:dyDescent="0.3">
      <c r="B8" s="133" t="s">
        <v>255</v>
      </c>
      <c r="C8" s="134">
        <v>820348.85844748851</v>
      </c>
      <c r="D8" s="135">
        <v>66682.19178082193</v>
      </c>
      <c r="E8" s="135">
        <v>133000</v>
      </c>
      <c r="F8" s="135">
        <v>133000</v>
      </c>
      <c r="G8" s="135">
        <v>133000</v>
      </c>
      <c r="H8" s="135">
        <v>133000</v>
      </c>
      <c r="I8" s="135">
        <v>133000</v>
      </c>
      <c r="J8" s="135">
        <v>88666.666666666657</v>
      </c>
      <c r="L8" s="132"/>
      <c r="M8" s="132"/>
    </row>
    <row r="9" spans="2:18" s="128" customFormat="1" x14ac:dyDescent="0.3">
      <c r="B9" s="136" t="s">
        <v>256</v>
      </c>
      <c r="C9" s="137">
        <v>0</v>
      </c>
      <c r="D9" s="138">
        <v>0</v>
      </c>
      <c r="E9" s="138">
        <v>0</v>
      </c>
      <c r="F9" s="138">
        <v>0</v>
      </c>
      <c r="G9" s="138">
        <v>0</v>
      </c>
      <c r="H9" s="138">
        <v>0</v>
      </c>
      <c r="I9" s="138">
        <v>0</v>
      </c>
      <c r="J9" s="138">
        <v>0</v>
      </c>
    </row>
    <row r="10" spans="2:18" s="128" customFormat="1" x14ac:dyDescent="0.3">
      <c r="B10" s="136" t="s">
        <v>257</v>
      </c>
      <c r="C10" s="137">
        <v>902383.74429223745</v>
      </c>
      <c r="D10" s="138">
        <v>73350.410958904118</v>
      </c>
      <c r="E10" s="138">
        <v>146300</v>
      </c>
      <c r="F10" s="138">
        <v>146300</v>
      </c>
      <c r="G10" s="138">
        <v>146300</v>
      </c>
      <c r="H10" s="138">
        <v>146300</v>
      </c>
      <c r="I10" s="138">
        <v>146300</v>
      </c>
      <c r="J10" s="138">
        <v>97533.333333333328</v>
      </c>
      <c r="L10" s="199"/>
    </row>
    <row r="11" spans="2:18" x14ac:dyDescent="0.3">
      <c r="B11" s="139" t="s">
        <v>258</v>
      </c>
      <c r="C11" s="140">
        <v>2.6731273350537026</v>
      </c>
      <c r="D11" s="140">
        <v>2.5499999999999998</v>
      </c>
      <c r="E11" s="140">
        <v>2.5890149999999998</v>
      </c>
      <c r="F11" s="140">
        <v>2.6286269295000002</v>
      </c>
      <c r="G11" s="140">
        <v>2.6688449215213503</v>
      </c>
      <c r="H11" s="140">
        <v>2.709678248820627</v>
      </c>
      <c r="I11" s="140">
        <v>2.751136326027583</v>
      </c>
      <c r="J11" s="140">
        <v>2.7932287118158055</v>
      </c>
    </row>
    <row r="12" spans="2:18" x14ac:dyDescent="0.3">
      <c r="B12" s="139"/>
      <c r="C12" s="140"/>
      <c r="D12" s="140"/>
      <c r="E12" s="140"/>
      <c r="F12" s="140"/>
      <c r="G12" s="140"/>
      <c r="H12" s="140"/>
      <c r="I12" s="140"/>
      <c r="J12" s="140"/>
    </row>
    <row r="13" spans="2:18" s="128" customFormat="1" x14ac:dyDescent="0.3">
      <c r="B13" s="141" t="s">
        <v>259</v>
      </c>
      <c r="D13" s="142">
        <v>6.6180403051692524E-2</v>
      </c>
      <c r="E13" s="142">
        <v>6.6102704764315387E-2</v>
      </c>
      <c r="F13" s="142">
        <v>6.6002072502117412E-2</v>
      </c>
      <c r="G13" s="142">
        <v>6.5878735334368568E-2</v>
      </c>
      <c r="H13" s="142">
        <v>6.5732919860432851E-2</v>
      </c>
      <c r="I13" s="142">
        <v>6.5564850211801071E-2</v>
      </c>
      <c r="J13" s="142">
        <v>6.5374748054913279E-2</v>
      </c>
    </row>
    <row r="15" spans="2:18" x14ac:dyDescent="0.3">
      <c r="B15" s="143" t="s">
        <v>260</v>
      </c>
      <c r="C15" s="122" t="s">
        <v>252</v>
      </c>
      <c r="D15" s="123">
        <v>2026</v>
      </c>
      <c r="E15" s="144">
        <v>2027</v>
      </c>
      <c r="F15" s="123">
        <v>2028</v>
      </c>
      <c r="G15" s="144">
        <v>2029</v>
      </c>
      <c r="H15" s="123">
        <v>2030</v>
      </c>
      <c r="I15" s="144">
        <v>2031</v>
      </c>
      <c r="J15" s="123">
        <v>2032</v>
      </c>
    </row>
    <row r="16" spans="2:18" x14ac:dyDescent="0.3">
      <c r="B16" s="145" t="s">
        <v>261</v>
      </c>
      <c r="C16" s="146">
        <v>27756.164383561645</v>
      </c>
      <c r="D16" s="147">
        <v>2256.1643835616442</v>
      </c>
      <c r="E16" s="147">
        <v>4500</v>
      </c>
      <c r="F16" s="147">
        <v>4500</v>
      </c>
      <c r="G16" s="147">
        <v>4500</v>
      </c>
      <c r="H16" s="147">
        <v>4500</v>
      </c>
      <c r="I16" s="147">
        <v>4500</v>
      </c>
      <c r="J16" s="147">
        <v>3000</v>
      </c>
    </row>
    <row r="17" spans="2:19" x14ac:dyDescent="0.3">
      <c r="B17" s="145" t="s">
        <v>262</v>
      </c>
      <c r="C17" s="146">
        <v>0</v>
      </c>
      <c r="D17" s="147">
        <v>0</v>
      </c>
      <c r="E17" s="147">
        <v>0</v>
      </c>
      <c r="F17" s="147">
        <v>0</v>
      </c>
      <c r="G17" s="147">
        <v>0</v>
      </c>
      <c r="H17" s="147">
        <v>0</v>
      </c>
      <c r="I17" s="147">
        <v>0</v>
      </c>
      <c r="J17" s="147">
        <v>0</v>
      </c>
    </row>
    <row r="18" spans="2:19" x14ac:dyDescent="0.3">
      <c r="B18" s="148" t="s">
        <v>263</v>
      </c>
      <c r="C18" s="149">
        <v>27756.164383561645</v>
      </c>
      <c r="D18" s="150">
        <v>2256.1643835616442</v>
      </c>
      <c r="E18" s="151">
        <v>4500</v>
      </c>
      <c r="F18" s="151">
        <v>4500</v>
      </c>
      <c r="G18" s="151">
        <v>4500</v>
      </c>
      <c r="H18" s="151">
        <v>4500</v>
      </c>
      <c r="I18" s="151">
        <v>4500</v>
      </c>
      <c r="J18" s="151">
        <v>3000</v>
      </c>
    </row>
    <row r="19" spans="2:19" x14ac:dyDescent="0.3">
      <c r="B19" s="152" t="s">
        <v>264</v>
      </c>
      <c r="C19" s="146">
        <v>68636.109148281394</v>
      </c>
      <c r="D19" s="153">
        <v>5579.0974122603639</v>
      </c>
      <c r="E19" s="153">
        <v>11127.707953415478</v>
      </c>
      <c r="F19" s="154">
        <v>11127.707953415478</v>
      </c>
      <c r="G19" s="153">
        <v>11127.707953415478</v>
      </c>
      <c r="H19" s="153">
        <v>11127.707953415478</v>
      </c>
      <c r="I19" s="153">
        <v>11127.707953415478</v>
      </c>
      <c r="J19" s="153">
        <v>7418.4719689436515</v>
      </c>
    </row>
    <row r="20" spans="2:19" x14ac:dyDescent="0.3">
      <c r="B20" s="152" t="s">
        <v>265</v>
      </c>
      <c r="C20" s="146">
        <v>0</v>
      </c>
      <c r="D20" s="153">
        <v>0</v>
      </c>
      <c r="E20" s="153">
        <v>0</v>
      </c>
      <c r="F20" s="153">
        <v>0</v>
      </c>
      <c r="G20" s="153">
        <v>0</v>
      </c>
      <c r="H20" s="153">
        <v>0</v>
      </c>
      <c r="I20" s="153">
        <v>0</v>
      </c>
      <c r="J20" s="153">
        <v>0</v>
      </c>
    </row>
    <row r="21" spans="2:19" x14ac:dyDescent="0.3">
      <c r="B21" s="152" t="s">
        <v>266</v>
      </c>
      <c r="C21" s="146">
        <v>2192896.9577960819</v>
      </c>
      <c r="D21" s="154">
        <v>170039.5890410959</v>
      </c>
      <c r="E21" s="154">
        <v>344338.995</v>
      </c>
      <c r="F21" s="154">
        <v>349607.38162350003</v>
      </c>
      <c r="G21" s="154">
        <v>354956.37456233957</v>
      </c>
      <c r="H21" s="154">
        <v>360387.20709314337</v>
      </c>
      <c r="I21" s="154">
        <v>365901.13136166852</v>
      </c>
      <c r="J21" s="154">
        <v>247666.27911433473</v>
      </c>
    </row>
    <row r="22" spans="2:19" x14ac:dyDescent="0.3">
      <c r="B22" s="145" t="s">
        <v>267</v>
      </c>
      <c r="C22" s="146">
        <v>0</v>
      </c>
      <c r="D22" s="155">
        <v>0</v>
      </c>
      <c r="E22" s="155">
        <v>0</v>
      </c>
      <c r="F22" s="155">
        <v>0</v>
      </c>
      <c r="G22" s="155">
        <v>0</v>
      </c>
      <c r="H22" s="155">
        <v>0</v>
      </c>
      <c r="I22" s="155">
        <v>0</v>
      </c>
      <c r="J22" s="155">
        <v>0</v>
      </c>
    </row>
    <row r="23" spans="2:19" x14ac:dyDescent="0.3">
      <c r="B23" s="145" t="s">
        <v>268</v>
      </c>
      <c r="C23" s="146">
        <v>0</v>
      </c>
      <c r="D23" s="147"/>
      <c r="E23" s="147"/>
      <c r="F23" s="147"/>
      <c r="G23" s="147"/>
      <c r="H23" s="147"/>
      <c r="I23" s="147"/>
      <c r="J23" s="147"/>
    </row>
    <row r="24" spans="2:19" x14ac:dyDescent="0.3">
      <c r="B24" s="152" t="s">
        <v>269</v>
      </c>
      <c r="C24" s="146">
        <v>0</v>
      </c>
      <c r="D24" s="154">
        <v>0</v>
      </c>
      <c r="E24" s="154">
        <v>0</v>
      </c>
      <c r="F24" s="154">
        <v>0</v>
      </c>
      <c r="G24" s="154">
        <v>0</v>
      </c>
      <c r="H24" s="154">
        <v>0</v>
      </c>
      <c r="I24" s="154">
        <v>0</v>
      </c>
      <c r="J24" s="154">
        <v>0</v>
      </c>
    </row>
    <row r="25" spans="2:19" x14ac:dyDescent="0.3">
      <c r="B25" s="156" t="s">
        <v>270</v>
      </c>
      <c r="C25" s="157">
        <v>2289289.2313279249</v>
      </c>
      <c r="D25" s="158">
        <v>177874.8508369179</v>
      </c>
      <c r="E25" s="159">
        <v>359966.70295341546</v>
      </c>
      <c r="F25" s="159">
        <v>365235.08957691549</v>
      </c>
      <c r="G25" s="159">
        <v>370584.08251575503</v>
      </c>
      <c r="H25" s="159">
        <v>376014.91504655883</v>
      </c>
      <c r="I25" s="159">
        <v>381528.83931508398</v>
      </c>
      <c r="J25" s="159">
        <v>258084.75108327839</v>
      </c>
    </row>
    <row r="26" spans="2:19" x14ac:dyDescent="0.3">
      <c r="C26" s="139"/>
    </row>
    <row r="27" spans="2:19" x14ac:dyDescent="0.3">
      <c r="B27" s="143" t="s">
        <v>271</v>
      </c>
      <c r="C27" s="122" t="s">
        <v>252</v>
      </c>
      <c r="D27" s="123">
        <v>2026</v>
      </c>
      <c r="E27" s="144">
        <v>2027</v>
      </c>
      <c r="F27" s="123">
        <v>2028</v>
      </c>
      <c r="G27" s="144">
        <v>2029</v>
      </c>
      <c r="H27" s="123">
        <v>2030</v>
      </c>
      <c r="I27" s="144">
        <v>2031</v>
      </c>
      <c r="J27" s="123">
        <v>2032</v>
      </c>
    </row>
    <row r="28" spans="2:19" x14ac:dyDescent="0.3">
      <c r="B28" s="148" t="s">
        <v>63</v>
      </c>
      <c r="C28" s="160">
        <v>953918.37309837062</v>
      </c>
      <c r="D28" s="150">
        <v>73467.731506849334</v>
      </c>
      <c r="E28" s="151">
        <v>149098.34500000003</v>
      </c>
      <c r="F28" s="151">
        <v>151707.56603750002</v>
      </c>
      <c r="G28" s="151">
        <v>154362.44844315629</v>
      </c>
      <c r="H28" s="151">
        <v>157063.79129091153</v>
      </c>
      <c r="I28" s="151">
        <v>159812.40763850248</v>
      </c>
      <c r="J28" s="151">
        <v>108406.08318145084</v>
      </c>
      <c r="K28" s="161"/>
      <c r="L28" s="161"/>
      <c r="M28" s="161"/>
      <c r="N28" s="161"/>
      <c r="O28" s="161"/>
      <c r="P28" s="161"/>
      <c r="Q28" s="161"/>
      <c r="R28" s="161"/>
      <c r="S28" s="161"/>
    </row>
    <row r="29" spans="2:19" x14ac:dyDescent="0.3">
      <c r="B29" s="162" t="s">
        <v>272</v>
      </c>
      <c r="C29" s="146">
        <v>884119.46774970926</v>
      </c>
      <c r="D29" s="153">
        <v>68092.043835616452</v>
      </c>
      <c r="E29" s="153">
        <v>138188.71000000002</v>
      </c>
      <c r="F29" s="154">
        <v>140607.01242500002</v>
      </c>
      <c r="G29" s="153">
        <v>143067.63514243753</v>
      </c>
      <c r="H29" s="153">
        <v>145571.31875743018</v>
      </c>
      <c r="I29" s="153">
        <v>148118.81683568523</v>
      </c>
      <c r="J29" s="153">
        <v>100473.93075353981</v>
      </c>
      <c r="K29" s="200" t="s">
        <v>351</v>
      </c>
      <c r="L29" s="200"/>
      <c r="M29" s="200"/>
      <c r="N29" s="200"/>
      <c r="O29" s="200"/>
      <c r="P29" s="200"/>
      <c r="Q29" s="200"/>
      <c r="R29" s="198"/>
      <c r="S29" s="121"/>
    </row>
    <row r="30" spans="2:19" x14ac:dyDescent="0.3">
      <c r="B30" s="162" t="s">
        <v>273</v>
      </c>
      <c r="C30" s="146">
        <v>0</v>
      </c>
      <c r="D30" s="153">
        <v>0</v>
      </c>
      <c r="E30" s="153">
        <v>0</v>
      </c>
      <c r="F30" s="154">
        <v>0</v>
      </c>
      <c r="G30" s="153">
        <v>0</v>
      </c>
      <c r="H30" s="153">
        <v>0</v>
      </c>
      <c r="I30" s="153">
        <v>0</v>
      </c>
      <c r="J30" s="153">
        <v>0</v>
      </c>
      <c r="K30" s="200"/>
    </row>
    <row r="31" spans="2:19" x14ac:dyDescent="0.3">
      <c r="B31" s="162" t="s">
        <v>274</v>
      </c>
      <c r="C31" s="146">
        <v>0</v>
      </c>
      <c r="D31" s="153">
        <v>0</v>
      </c>
      <c r="E31" s="153">
        <v>0</v>
      </c>
      <c r="F31" s="154">
        <v>0</v>
      </c>
      <c r="G31" s="153">
        <v>0</v>
      </c>
      <c r="H31" s="153">
        <v>0</v>
      </c>
      <c r="I31" s="153">
        <v>0</v>
      </c>
      <c r="J31" s="153">
        <v>0</v>
      </c>
    </row>
    <row r="32" spans="2:19" x14ac:dyDescent="0.3">
      <c r="B32" s="162" t="s">
        <v>275</v>
      </c>
      <c r="C32" s="146">
        <v>69798.905348661268</v>
      </c>
      <c r="D32" s="153">
        <v>5375.6876712328776</v>
      </c>
      <c r="E32" s="153">
        <v>10909.635</v>
      </c>
      <c r="F32" s="154">
        <v>11100.553612500002</v>
      </c>
      <c r="G32" s="153">
        <v>11294.813300718752</v>
      </c>
      <c r="H32" s="153">
        <v>11492.47253348133</v>
      </c>
      <c r="I32" s="153">
        <v>11693.590802817254</v>
      </c>
      <c r="J32" s="153">
        <v>7932.1524279110381</v>
      </c>
      <c r="K32" s="200" t="s">
        <v>352</v>
      </c>
    </row>
    <row r="33" spans="2:13" hidden="1" x14ac:dyDescent="0.3">
      <c r="B33" s="162" t="s">
        <v>276</v>
      </c>
      <c r="C33" s="146">
        <v>0</v>
      </c>
      <c r="D33" s="153">
        <v>0</v>
      </c>
      <c r="E33" s="153">
        <v>0</v>
      </c>
      <c r="F33" s="153">
        <v>0</v>
      </c>
      <c r="G33" s="153">
        <v>0</v>
      </c>
      <c r="H33" s="153">
        <v>0</v>
      </c>
      <c r="I33" s="153">
        <v>0</v>
      </c>
      <c r="J33" s="153">
        <v>0</v>
      </c>
    </row>
    <row r="34" spans="2:13" hidden="1" x14ac:dyDescent="0.3">
      <c r="B34" s="163" t="s">
        <v>277</v>
      </c>
      <c r="C34" s="146">
        <v>0</v>
      </c>
      <c r="D34" s="153">
        <v>0</v>
      </c>
      <c r="E34" s="153">
        <v>0</v>
      </c>
      <c r="F34" s="153">
        <v>0</v>
      </c>
      <c r="G34" s="153">
        <v>0</v>
      </c>
      <c r="H34" s="153">
        <v>0</v>
      </c>
      <c r="I34" s="153">
        <v>0</v>
      </c>
      <c r="J34" s="153">
        <v>0</v>
      </c>
    </row>
    <row r="35" spans="2:13" hidden="1" x14ac:dyDescent="0.3">
      <c r="B35" s="163" t="s">
        <v>278</v>
      </c>
      <c r="C35" s="146">
        <v>0</v>
      </c>
      <c r="D35" s="154">
        <v>0</v>
      </c>
      <c r="E35" s="154">
        <v>0</v>
      </c>
      <c r="F35" s="154">
        <v>0</v>
      </c>
      <c r="G35" s="154">
        <v>0</v>
      </c>
      <c r="H35" s="154">
        <v>0</v>
      </c>
      <c r="I35" s="154">
        <v>0</v>
      </c>
      <c r="J35" s="154">
        <v>0</v>
      </c>
    </row>
    <row r="36" spans="2:13" hidden="1" x14ac:dyDescent="0.3">
      <c r="B36" s="163" t="s">
        <v>279</v>
      </c>
      <c r="C36" s="146">
        <v>0</v>
      </c>
      <c r="D36" s="154">
        <v>0</v>
      </c>
      <c r="E36" s="154">
        <v>0</v>
      </c>
      <c r="F36" s="154">
        <v>0</v>
      </c>
      <c r="G36" s="154">
        <v>0</v>
      </c>
      <c r="H36" s="154">
        <v>0</v>
      </c>
      <c r="I36" s="154">
        <v>0</v>
      </c>
      <c r="J36" s="154">
        <v>0</v>
      </c>
    </row>
    <row r="37" spans="2:13" hidden="1" x14ac:dyDescent="0.3">
      <c r="B37" s="163" t="s">
        <v>280</v>
      </c>
      <c r="C37" s="146">
        <v>0</v>
      </c>
      <c r="D37" s="153">
        <v>0</v>
      </c>
      <c r="E37" s="153">
        <v>0</v>
      </c>
      <c r="F37" s="153">
        <v>0</v>
      </c>
      <c r="G37" s="153">
        <v>0</v>
      </c>
      <c r="H37" s="153">
        <v>0</v>
      </c>
      <c r="I37" s="153">
        <v>0</v>
      </c>
      <c r="J37" s="153">
        <v>0</v>
      </c>
    </row>
    <row r="38" spans="2:13" x14ac:dyDescent="0.3">
      <c r="B38" s="148" t="s">
        <v>281</v>
      </c>
      <c r="C38" s="149">
        <v>489831.52052404359</v>
      </c>
      <c r="D38" s="150">
        <v>37738.666305766135</v>
      </c>
      <c r="E38" s="151">
        <v>76579.033380268782</v>
      </c>
      <c r="F38" s="151">
        <v>77910.093090986906</v>
      </c>
      <c r="G38" s="151">
        <v>79264.706025279025</v>
      </c>
      <c r="H38" s="151">
        <v>80643.296307665776</v>
      </c>
      <c r="I38" s="151">
        <v>82046.295826977075</v>
      </c>
      <c r="J38" s="151">
        <v>55649.429587099934</v>
      </c>
      <c r="M38" s="201"/>
    </row>
    <row r="39" spans="2:13" x14ac:dyDescent="0.3">
      <c r="B39" s="162" t="s">
        <v>282</v>
      </c>
      <c r="C39" s="146">
        <v>212696.13342456604</v>
      </c>
      <c r="D39" s="154">
        <v>16492.686986301371</v>
      </c>
      <c r="E39" s="154">
        <v>33398.547325</v>
      </c>
      <c r="F39" s="154">
        <v>33909.5450990725</v>
      </c>
      <c r="G39" s="153">
        <v>34428.361139088316</v>
      </c>
      <c r="H39" s="153">
        <v>34955.115064516373</v>
      </c>
      <c r="I39" s="153">
        <v>35489.928325003479</v>
      </c>
      <c r="J39" s="153">
        <v>24021.94948558402</v>
      </c>
      <c r="K39" s="200" t="s">
        <v>353</v>
      </c>
    </row>
    <row r="40" spans="2:13" x14ac:dyDescent="0.3">
      <c r="B40" s="162" t="s">
        <v>283</v>
      </c>
      <c r="C40" s="146">
        <v>24025.403482318568</v>
      </c>
      <c r="D40" s="154">
        <v>1862.9556305216295</v>
      </c>
      <c r="E40" s="154">
        <v>3772.5818626177202</v>
      </c>
      <c r="F40" s="154">
        <v>3830.3023651157714</v>
      </c>
      <c r="G40" s="153">
        <v>3888.9059913020433</v>
      </c>
      <c r="H40" s="153">
        <v>3948.406252968965</v>
      </c>
      <c r="I40" s="153">
        <v>4008.8168686393906</v>
      </c>
      <c r="J40" s="153">
        <v>2713.4345111530488</v>
      </c>
      <c r="K40" s="118" t="s">
        <v>354</v>
      </c>
    </row>
    <row r="41" spans="2:13" x14ac:dyDescent="0.3">
      <c r="B41" s="162" t="s">
        <v>284</v>
      </c>
      <c r="C41" s="146">
        <v>13605.411406755313</v>
      </c>
      <c r="D41" s="153">
        <v>1054.9782360338522</v>
      </c>
      <c r="E41" s="154">
        <v>2136.3856945982902</v>
      </c>
      <c r="F41" s="154">
        <v>2169.0723957256441</v>
      </c>
      <c r="G41" s="153">
        <v>2202.2592033802466</v>
      </c>
      <c r="H41" s="153">
        <v>2235.9537691919645</v>
      </c>
      <c r="I41" s="153">
        <v>2270.1638618606016</v>
      </c>
      <c r="J41" s="153">
        <v>1536.5982459647125</v>
      </c>
      <c r="K41" s="118" t="s">
        <v>355</v>
      </c>
    </row>
    <row r="42" spans="2:13" x14ac:dyDescent="0.3">
      <c r="B42" s="162" t="s">
        <v>285</v>
      </c>
      <c r="C42" s="146">
        <v>218128.83693195751</v>
      </c>
      <c r="D42" s="153">
        <v>16670.547945205482</v>
      </c>
      <c r="E42" s="153">
        <v>33915</v>
      </c>
      <c r="F42" s="153">
        <v>34593.300000000003</v>
      </c>
      <c r="G42" s="153">
        <v>35285.166000000005</v>
      </c>
      <c r="H42" s="153">
        <v>35990.869320000005</v>
      </c>
      <c r="I42" s="153">
        <v>36710.686706400003</v>
      </c>
      <c r="J42" s="153">
        <v>24963.266960352004</v>
      </c>
      <c r="K42" s="200" t="s">
        <v>356</v>
      </c>
    </row>
    <row r="43" spans="2:13" x14ac:dyDescent="0.3">
      <c r="B43" s="163" t="s">
        <v>286</v>
      </c>
      <c r="C43" s="146">
        <v>20479.249649961446</v>
      </c>
      <c r="D43" s="154">
        <v>1587.9830477074652</v>
      </c>
      <c r="E43" s="153">
        <v>3215.7481078860501</v>
      </c>
      <c r="F43" s="153">
        <v>3264.9490539367071</v>
      </c>
      <c r="G43" s="153">
        <v>3314.9027744619389</v>
      </c>
      <c r="H43" s="153">
        <v>3365.6207869112068</v>
      </c>
      <c r="I43" s="153">
        <v>3417.1147849509484</v>
      </c>
      <c r="J43" s="153">
        <v>2312.9310941071321</v>
      </c>
      <c r="K43" s="200"/>
    </row>
    <row r="44" spans="2:13" x14ac:dyDescent="0.3">
      <c r="B44" s="163" t="s">
        <v>287</v>
      </c>
      <c r="C44" s="146">
        <v>0</v>
      </c>
      <c r="D44" s="154">
        <v>0</v>
      </c>
      <c r="E44" s="153">
        <v>0</v>
      </c>
      <c r="F44" s="153">
        <v>0</v>
      </c>
      <c r="G44" s="153">
        <v>0</v>
      </c>
      <c r="H44" s="153">
        <v>0</v>
      </c>
      <c r="I44" s="153">
        <v>0</v>
      </c>
      <c r="J44" s="153">
        <v>0</v>
      </c>
      <c r="K44" s="200"/>
    </row>
    <row r="45" spans="2:13" x14ac:dyDescent="0.3">
      <c r="B45" s="163" t="s">
        <v>288</v>
      </c>
      <c r="C45" s="146">
        <v>896.48562848472625</v>
      </c>
      <c r="D45" s="154">
        <v>69.514459996330871</v>
      </c>
      <c r="E45" s="153">
        <v>140.77039016672282</v>
      </c>
      <c r="F45" s="153">
        <v>142.9241771362737</v>
      </c>
      <c r="G45" s="153">
        <v>145.1109170464587</v>
      </c>
      <c r="H45" s="153">
        <v>147.33111407726952</v>
      </c>
      <c r="I45" s="153">
        <v>149.58528012265177</v>
      </c>
      <c r="J45" s="153">
        <v>101.24928993901889</v>
      </c>
      <c r="K45" s="200"/>
    </row>
    <row r="46" spans="2:13" x14ac:dyDescent="0.3">
      <c r="B46" s="148" t="s">
        <v>289</v>
      </c>
      <c r="C46" s="149">
        <v>379290.87522540253</v>
      </c>
      <c r="D46" s="150">
        <v>29410.622474110052</v>
      </c>
      <c r="E46" s="151">
        <v>59558.03729102097</v>
      </c>
      <c r="F46" s="151">
        <v>60469.275261573588</v>
      </c>
      <c r="G46" s="151">
        <v>61394.455173075672</v>
      </c>
      <c r="H46" s="151">
        <v>62333.790337223734</v>
      </c>
      <c r="I46" s="151">
        <v>63287.497329383259</v>
      </c>
      <c r="J46" s="151">
        <v>42837.197359015219</v>
      </c>
    </row>
    <row r="47" spans="2:13" x14ac:dyDescent="0.3">
      <c r="B47" s="163" t="s">
        <v>290</v>
      </c>
      <c r="C47" s="146">
        <v>0</v>
      </c>
      <c r="D47" s="153">
        <v>0</v>
      </c>
      <c r="E47" s="153">
        <v>0</v>
      </c>
      <c r="F47" s="153">
        <v>0</v>
      </c>
      <c r="G47" s="153">
        <v>0</v>
      </c>
      <c r="H47" s="153">
        <v>0</v>
      </c>
      <c r="I47" s="153">
        <v>0</v>
      </c>
      <c r="J47" s="153">
        <v>0</v>
      </c>
    </row>
    <row r="48" spans="2:13" x14ac:dyDescent="0.3">
      <c r="B48" s="163" t="s">
        <v>291</v>
      </c>
      <c r="C48" s="146">
        <v>0</v>
      </c>
      <c r="D48" s="153">
        <v>0</v>
      </c>
      <c r="E48" s="153">
        <v>0</v>
      </c>
      <c r="F48" s="153">
        <v>0</v>
      </c>
      <c r="G48" s="153">
        <v>0</v>
      </c>
      <c r="H48" s="153">
        <v>0</v>
      </c>
      <c r="I48" s="153">
        <v>0</v>
      </c>
      <c r="J48" s="153">
        <v>0</v>
      </c>
    </row>
    <row r="49" spans="2:13" x14ac:dyDescent="0.3">
      <c r="B49" s="163" t="s">
        <v>292</v>
      </c>
      <c r="C49" s="146">
        <v>0</v>
      </c>
      <c r="D49" s="153">
        <v>0</v>
      </c>
      <c r="E49" s="153">
        <v>0</v>
      </c>
      <c r="F49" s="153">
        <v>0</v>
      </c>
      <c r="G49" s="153">
        <v>0</v>
      </c>
      <c r="H49" s="153">
        <v>0</v>
      </c>
      <c r="I49" s="153">
        <v>0</v>
      </c>
      <c r="J49" s="153">
        <v>0</v>
      </c>
    </row>
    <row r="50" spans="2:13" x14ac:dyDescent="0.3">
      <c r="B50" s="162" t="s">
        <v>293</v>
      </c>
      <c r="C50" s="146">
        <v>127700.766376154</v>
      </c>
      <c r="D50" s="154">
        <v>9902.054794520549</v>
      </c>
      <c r="E50" s="153">
        <v>20052.175000000003</v>
      </c>
      <c r="F50" s="153">
        <v>20358.973277500005</v>
      </c>
      <c r="G50" s="153">
        <v>20670.465568645755</v>
      </c>
      <c r="H50" s="153">
        <v>20986.723691846037</v>
      </c>
      <c r="I50" s="153">
        <v>21307.820564331283</v>
      </c>
      <c r="J50" s="153">
        <v>14422.553479310369</v>
      </c>
      <c r="K50" s="200" t="s">
        <v>357</v>
      </c>
    </row>
    <row r="51" spans="2:13" x14ac:dyDescent="0.3">
      <c r="B51" s="162" t="s">
        <v>294</v>
      </c>
      <c r="C51" s="146">
        <v>9698.7923829990377</v>
      </c>
      <c r="D51" s="154">
        <v>752.05479452054806</v>
      </c>
      <c r="E51" s="153">
        <v>1522.95</v>
      </c>
      <c r="F51" s="153">
        <v>1546.2511350000002</v>
      </c>
      <c r="G51" s="153">
        <v>1569.9087773655003</v>
      </c>
      <c r="H51" s="153">
        <v>1593.9283816591926</v>
      </c>
      <c r="I51" s="153">
        <v>1618.3154858985783</v>
      </c>
      <c r="J51" s="153">
        <v>1095.3838085552177</v>
      </c>
      <c r="K51" s="200" t="s">
        <v>358</v>
      </c>
    </row>
    <row r="52" spans="2:13" x14ac:dyDescent="0.3">
      <c r="B52" s="162" t="s">
        <v>295</v>
      </c>
      <c r="C52" s="146">
        <v>0</v>
      </c>
      <c r="D52" s="153">
        <v>0</v>
      </c>
      <c r="E52" s="153">
        <v>0</v>
      </c>
      <c r="F52" s="153">
        <v>0</v>
      </c>
      <c r="G52" s="153">
        <v>0</v>
      </c>
      <c r="H52" s="153">
        <v>0</v>
      </c>
      <c r="I52" s="153">
        <v>0</v>
      </c>
      <c r="J52" s="153">
        <v>0</v>
      </c>
      <c r="L52" s="202"/>
    </row>
    <row r="53" spans="2:13" x14ac:dyDescent="0.3">
      <c r="B53" s="162" t="s">
        <v>296</v>
      </c>
      <c r="C53" s="146">
        <v>0</v>
      </c>
      <c r="D53" s="153">
        <v>0</v>
      </c>
      <c r="E53" s="153">
        <v>0</v>
      </c>
      <c r="F53" s="153">
        <v>0</v>
      </c>
      <c r="G53" s="153">
        <v>0</v>
      </c>
      <c r="H53" s="153">
        <v>0</v>
      </c>
      <c r="I53" s="153">
        <v>0</v>
      </c>
      <c r="J53" s="153">
        <v>0</v>
      </c>
    </row>
    <row r="54" spans="2:13" x14ac:dyDescent="0.3">
      <c r="B54" s="162" t="s">
        <v>297</v>
      </c>
      <c r="C54" s="146">
        <v>29389.158889343365</v>
      </c>
      <c r="D54" s="153">
        <v>2278.8669946579939</v>
      </c>
      <c r="E54" s="154">
        <v>4614.8239660209574</v>
      </c>
      <c r="F54" s="154">
        <v>4685.4307727010782</v>
      </c>
      <c r="G54" s="154">
        <v>4757.1178635234055</v>
      </c>
      <c r="H54" s="154">
        <v>4829.9017668353144</v>
      </c>
      <c r="I54" s="154">
        <v>4903.7992638678952</v>
      </c>
      <c r="J54" s="154">
        <v>3319.2182617367162</v>
      </c>
      <c r="K54" s="200" t="s">
        <v>359</v>
      </c>
    </row>
    <row r="55" spans="2:13" x14ac:dyDescent="0.3">
      <c r="B55" s="162" t="s">
        <v>298</v>
      </c>
      <c r="C55" s="146">
        <v>212502.15757690609</v>
      </c>
      <c r="D55" s="153">
        <v>16477.64589041096</v>
      </c>
      <c r="E55" s="154">
        <v>33368.088325000004</v>
      </c>
      <c r="F55" s="154">
        <v>33878.620076372506</v>
      </c>
      <c r="G55" s="153">
        <v>34396.962963541009</v>
      </c>
      <c r="H55" s="153">
        <v>34923.23649688319</v>
      </c>
      <c r="I55" s="153">
        <v>35457.562015285504</v>
      </c>
      <c r="J55" s="153">
        <v>24000.041809412916</v>
      </c>
      <c r="K55" s="200"/>
    </row>
    <row r="56" spans="2:13" x14ac:dyDescent="0.3">
      <c r="B56" s="163" t="s">
        <v>299</v>
      </c>
      <c r="C56" s="146">
        <v>0</v>
      </c>
      <c r="D56" s="153">
        <v>0</v>
      </c>
      <c r="E56" s="153">
        <v>0</v>
      </c>
      <c r="F56" s="153">
        <v>0</v>
      </c>
      <c r="G56" s="153">
        <v>0</v>
      </c>
      <c r="H56" s="153">
        <v>0</v>
      </c>
      <c r="I56" s="153">
        <v>0</v>
      </c>
      <c r="J56" s="153">
        <v>0</v>
      </c>
    </row>
    <row r="57" spans="2:13" x14ac:dyDescent="0.3">
      <c r="B57" s="163" t="s">
        <v>300</v>
      </c>
      <c r="C57" s="146">
        <v>0</v>
      </c>
      <c r="D57" s="153">
        <v>0</v>
      </c>
      <c r="E57" s="153">
        <v>0</v>
      </c>
      <c r="F57" s="153">
        <v>0</v>
      </c>
      <c r="G57" s="153">
        <v>0</v>
      </c>
      <c r="H57" s="153">
        <v>0</v>
      </c>
      <c r="I57" s="153">
        <v>0</v>
      </c>
      <c r="J57" s="153">
        <v>0</v>
      </c>
    </row>
    <row r="58" spans="2:13" x14ac:dyDescent="0.3">
      <c r="B58" s="163" t="s">
        <v>301</v>
      </c>
      <c r="C58" s="146">
        <v>0</v>
      </c>
      <c r="D58" s="153">
        <v>0</v>
      </c>
      <c r="E58" s="153">
        <v>0</v>
      </c>
      <c r="F58" s="153">
        <v>0</v>
      </c>
      <c r="G58" s="153">
        <v>0</v>
      </c>
      <c r="H58" s="153">
        <v>0</v>
      </c>
      <c r="I58" s="153">
        <v>0</v>
      </c>
      <c r="J58" s="153">
        <v>0</v>
      </c>
    </row>
    <row r="59" spans="2:13" x14ac:dyDescent="0.3">
      <c r="B59" s="163" t="s">
        <v>302</v>
      </c>
      <c r="C59" s="146">
        <v>0</v>
      </c>
      <c r="D59" s="153">
        <v>0</v>
      </c>
      <c r="E59" s="153">
        <v>0</v>
      </c>
      <c r="F59" s="153">
        <v>0</v>
      </c>
      <c r="G59" s="153">
        <v>0</v>
      </c>
      <c r="H59" s="153">
        <v>0</v>
      </c>
      <c r="I59" s="153">
        <v>0</v>
      </c>
      <c r="J59" s="153">
        <v>0</v>
      </c>
    </row>
    <row r="60" spans="2:13" x14ac:dyDescent="0.3">
      <c r="B60" s="163" t="s">
        <v>303</v>
      </c>
      <c r="C60" s="146">
        <v>0</v>
      </c>
      <c r="D60" s="153">
        <v>0</v>
      </c>
      <c r="E60" s="153">
        <v>0</v>
      </c>
      <c r="F60" s="153">
        <v>0</v>
      </c>
      <c r="G60" s="153">
        <v>0</v>
      </c>
      <c r="H60" s="153">
        <v>0</v>
      </c>
      <c r="I60" s="153">
        <v>0</v>
      </c>
      <c r="J60" s="153">
        <v>0</v>
      </c>
    </row>
    <row r="61" spans="2:13" x14ac:dyDescent="0.3">
      <c r="B61" s="163" t="s">
        <v>304</v>
      </c>
      <c r="C61" s="146">
        <v>0</v>
      </c>
      <c r="D61" s="153">
        <v>0</v>
      </c>
      <c r="E61" s="153">
        <v>0</v>
      </c>
      <c r="F61" s="153">
        <v>0</v>
      </c>
      <c r="G61" s="153">
        <v>0</v>
      </c>
      <c r="H61" s="153">
        <v>0</v>
      </c>
      <c r="I61" s="153">
        <v>0</v>
      </c>
      <c r="J61" s="153">
        <v>0</v>
      </c>
    </row>
    <row r="62" spans="2:13" x14ac:dyDescent="0.3">
      <c r="B62" s="163" t="s">
        <v>305</v>
      </c>
      <c r="C62" s="146">
        <v>0</v>
      </c>
      <c r="D62" s="153">
        <v>0</v>
      </c>
      <c r="E62" s="153">
        <v>0</v>
      </c>
      <c r="F62" s="153">
        <v>0</v>
      </c>
      <c r="G62" s="153">
        <v>0</v>
      </c>
      <c r="H62" s="153">
        <v>0</v>
      </c>
      <c r="I62" s="153">
        <v>0</v>
      </c>
      <c r="J62" s="153">
        <v>0</v>
      </c>
    </row>
    <row r="63" spans="2:13" x14ac:dyDescent="0.3">
      <c r="B63" s="163" t="s">
        <v>306</v>
      </c>
      <c r="C63" s="146">
        <v>0</v>
      </c>
      <c r="D63" s="153">
        <v>0</v>
      </c>
      <c r="E63" s="153">
        <v>0</v>
      </c>
      <c r="F63" s="153">
        <v>0</v>
      </c>
      <c r="G63" s="153">
        <v>0</v>
      </c>
      <c r="H63" s="153">
        <v>0</v>
      </c>
      <c r="I63" s="153">
        <v>0</v>
      </c>
      <c r="J63" s="153">
        <v>0</v>
      </c>
    </row>
    <row r="64" spans="2:13" x14ac:dyDescent="0.3">
      <c r="B64" s="148" t="s">
        <v>307</v>
      </c>
      <c r="C64" s="149">
        <v>271700.37270182499</v>
      </c>
      <c r="D64" s="150">
        <v>22085.209448223563</v>
      </c>
      <c r="E64" s="151">
        <v>44049.734691812024</v>
      </c>
      <c r="F64" s="151">
        <v>44049.734691812024</v>
      </c>
      <c r="G64" s="151">
        <v>44049.734691812024</v>
      </c>
      <c r="H64" s="151">
        <v>44049.734691812024</v>
      </c>
      <c r="I64" s="151">
        <v>44049.734691812024</v>
      </c>
      <c r="J64" s="151">
        <v>29366.48979454135</v>
      </c>
      <c r="M64" s="203"/>
    </row>
    <row r="65" spans="2:11" x14ac:dyDescent="0.3">
      <c r="B65" s="162" t="s">
        <v>308</v>
      </c>
      <c r="C65" s="146">
        <v>251729.90684931507</v>
      </c>
      <c r="D65" s="153">
        <v>20461.90684931507</v>
      </c>
      <c r="E65" s="153">
        <v>40812</v>
      </c>
      <c r="F65" s="153">
        <v>40812</v>
      </c>
      <c r="G65" s="153">
        <v>40812</v>
      </c>
      <c r="H65" s="153">
        <v>40812</v>
      </c>
      <c r="I65" s="153">
        <v>40812</v>
      </c>
      <c r="J65" s="153">
        <v>27208</v>
      </c>
      <c r="K65" s="118" t="s">
        <v>360</v>
      </c>
    </row>
    <row r="66" spans="2:11" x14ac:dyDescent="0.3">
      <c r="B66" s="162" t="s">
        <v>309</v>
      </c>
      <c r="C66" s="146">
        <v>0</v>
      </c>
      <c r="D66" s="153">
        <v>0</v>
      </c>
      <c r="E66" s="153">
        <v>0</v>
      </c>
      <c r="F66" s="153">
        <v>0</v>
      </c>
      <c r="G66" s="153">
        <v>0</v>
      </c>
      <c r="H66" s="153">
        <v>0</v>
      </c>
      <c r="I66" s="153">
        <v>0</v>
      </c>
      <c r="J66" s="153">
        <v>0</v>
      </c>
    </row>
    <row r="67" spans="2:11" x14ac:dyDescent="0.3">
      <c r="B67" s="162" t="s">
        <v>310</v>
      </c>
      <c r="C67" s="146">
        <v>13213.223436319429</v>
      </c>
      <c r="D67" s="153">
        <v>1074.0390385755652</v>
      </c>
      <c r="E67" s="153">
        <v>2142.2090113665645</v>
      </c>
      <c r="F67" s="153">
        <v>2142.2090113665645</v>
      </c>
      <c r="G67" s="153">
        <v>2142.2090113665645</v>
      </c>
      <c r="H67" s="153">
        <v>2142.2090113665645</v>
      </c>
      <c r="I67" s="153">
        <v>2142.2090113665645</v>
      </c>
      <c r="J67" s="153">
        <v>1428.1393409110428</v>
      </c>
      <c r="K67" s="118" t="s">
        <v>361</v>
      </c>
    </row>
    <row r="68" spans="2:11" x14ac:dyDescent="0.3">
      <c r="B68" s="162" t="s">
        <v>311</v>
      </c>
      <c r="C68" s="146">
        <v>0</v>
      </c>
      <c r="D68" s="153">
        <v>0</v>
      </c>
      <c r="E68" s="153">
        <v>0</v>
      </c>
      <c r="F68" s="153">
        <v>0</v>
      </c>
      <c r="G68" s="153">
        <v>0</v>
      </c>
      <c r="H68" s="153">
        <v>0</v>
      </c>
      <c r="I68" s="153">
        <v>0</v>
      </c>
      <c r="J68" s="153">
        <v>0</v>
      </c>
    </row>
    <row r="69" spans="2:11" x14ac:dyDescent="0.3">
      <c r="B69" s="162" t="s">
        <v>312</v>
      </c>
      <c r="C69" s="146">
        <v>6757.2424161905546</v>
      </c>
      <c r="D69" s="153">
        <v>549.26356033293075</v>
      </c>
      <c r="E69" s="153">
        <v>1095.525680445463</v>
      </c>
      <c r="F69" s="153">
        <v>1095.525680445463</v>
      </c>
      <c r="G69" s="153">
        <v>1095.525680445463</v>
      </c>
      <c r="H69" s="153">
        <v>1095.525680445463</v>
      </c>
      <c r="I69" s="153">
        <v>1095.525680445463</v>
      </c>
      <c r="J69" s="153">
        <v>730.35045363030861</v>
      </c>
      <c r="K69" s="118" t="s">
        <v>362</v>
      </c>
    </row>
    <row r="70" spans="2:11" x14ac:dyDescent="0.3">
      <c r="B70" s="164" t="s">
        <v>313</v>
      </c>
      <c r="C70" s="165">
        <v>271700.37270182499</v>
      </c>
      <c r="D70" s="166">
        <v>22085.209448223563</v>
      </c>
      <c r="E70" s="166">
        <v>44049.734691812024</v>
      </c>
      <c r="F70" s="166">
        <v>44049.734691812024</v>
      </c>
      <c r="G70" s="166">
        <v>44049.734691812024</v>
      </c>
      <c r="H70" s="166">
        <v>44049.734691812024</v>
      </c>
      <c r="I70" s="166">
        <v>44049.734691812024</v>
      </c>
      <c r="J70" s="166">
        <v>29366.48979454135</v>
      </c>
    </row>
    <row r="71" spans="2:11" x14ac:dyDescent="0.3">
      <c r="B71" s="162" t="s">
        <v>314</v>
      </c>
      <c r="C71" s="146">
        <v>0</v>
      </c>
      <c r="D71" s="153">
        <v>0</v>
      </c>
      <c r="E71" s="153">
        <v>0</v>
      </c>
      <c r="F71" s="153">
        <v>0</v>
      </c>
      <c r="G71" s="153">
        <v>0</v>
      </c>
      <c r="H71" s="153">
        <v>0</v>
      </c>
      <c r="I71" s="153">
        <v>0</v>
      </c>
      <c r="J71" s="153">
        <v>0</v>
      </c>
    </row>
    <row r="72" spans="2:11" x14ac:dyDescent="0.3">
      <c r="B72" s="162" t="s">
        <v>315</v>
      </c>
      <c r="C72" s="146">
        <v>0</v>
      </c>
      <c r="D72" s="153">
        <v>0</v>
      </c>
      <c r="E72" s="153">
        <v>0</v>
      </c>
      <c r="F72" s="153">
        <v>0</v>
      </c>
      <c r="G72" s="153">
        <v>0</v>
      </c>
      <c r="H72" s="153">
        <v>0</v>
      </c>
      <c r="I72" s="153">
        <v>0</v>
      </c>
      <c r="J72" s="153">
        <v>0</v>
      </c>
    </row>
    <row r="73" spans="2:11" x14ac:dyDescent="0.3">
      <c r="B73" s="162" t="s">
        <v>316</v>
      </c>
      <c r="C73" s="146">
        <v>0</v>
      </c>
      <c r="D73" s="153">
        <v>0</v>
      </c>
      <c r="E73" s="153">
        <v>0</v>
      </c>
      <c r="F73" s="153">
        <v>0</v>
      </c>
      <c r="G73" s="153">
        <v>0</v>
      </c>
      <c r="H73" s="153">
        <v>0</v>
      </c>
      <c r="I73" s="153">
        <v>0</v>
      </c>
      <c r="J73" s="153">
        <v>0</v>
      </c>
    </row>
    <row r="74" spans="2:11" x14ac:dyDescent="0.3">
      <c r="B74" s="164" t="s">
        <v>317</v>
      </c>
      <c r="C74" s="165">
        <v>0</v>
      </c>
      <c r="D74" s="166">
        <v>0</v>
      </c>
      <c r="E74" s="166">
        <v>0</v>
      </c>
      <c r="F74" s="166">
        <v>0</v>
      </c>
      <c r="G74" s="166">
        <v>0</v>
      </c>
      <c r="H74" s="166">
        <v>0</v>
      </c>
      <c r="I74" s="166">
        <v>0</v>
      </c>
      <c r="J74" s="166">
        <v>0</v>
      </c>
    </row>
    <row r="75" spans="2:11" x14ac:dyDescent="0.3">
      <c r="B75" s="162" t="s">
        <v>318</v>
      </c>
      <c r="C75" s="146">
        <v>0</v>
      </c>
      <c r="D75" s="153">
        <v>0</v>
      </c>
      <c r="E75" s="153">
        <v>0</v>
      </c>
      <c r="F75" s="153">
        <v>0</v>
      </c>
      <c r="G75" s="153">
        <v>0</v>
      </c>
      <c r="H75" s="153">
        <v>0</v>
      </c>
      <c r="I75" s="153">
        <v>0</v>
      </c>
      <c r="J75" s="153">
        <v>0</v>
      </c>
    </row>
    <row r="76" spans="2:11" x14ac:dyDescent="0.3">
      <c r="B76" s="148" t="s">
        <v>319</v>
      </c>
      <c r="C76" s="149">
        <v>43857.939155921638</v>
      </c>
      <c r="D76" s="150">
        <v>3400.7917808219181</v>
      </c>
      <c r="E76" s="151">
        <v>6886.7799000000005</v>
      </c>
      <c r="F76" s="151">
        <v>6992.1476324700006</v>
      </c>
      <c r="G76" s="151">
        <v>7099.1274912467916</v>
      </c>
      <c r="H76" s="151">
        <v>7207.7441418628678</v>
      </c>
      <c r="I76" s="151">
        <v>7318.0226272333703</v>
      </c>
      <c r="J76" s="151">
        <v>4953.325582286695</v>
      </c>
    </row>
    <row r="77" spans="2:11" x14ac:dyDescent="0.3">
      <c r="B77" s="156" t="s">
        <v>320</v>
      </c>
      <c r="C77" s="157">
        <v>2138599.0807055631</v>
      </c>
      <c r="D77" s="158">
        <v>166103.02151577099</v>
      </c>
      <c r="E77" s="159">
        <v>336171.93026310182</v>
      </c>
      <c r="F77" s="159">
        <v>341128.81671434257</v>
      </c>
      <c r="G77" s="159">
        <v>346170.4718245698</v>
      </c>
      <c r="H77" s="159">
        <v>351298.35676947591</v>
      </c>
      <c r="I77" s="159">
        <v>356513.95811390819</v>
      </c>
      <c r="J77" s="159">
        <v>241212.52550439406</v>
      </c>
    </row>
    <row r="79" spans="2:11" x14ac:dyDescent="0.3">
      <c r="B79" s="167"/>
    </row>
  </sheetData>
  <pageMargins left="0.7" right="0.7" top="0.75" bottom="0.75" header="0.3" footer="0.3"/>
  <pageSetup paperSize="9" fitToHeight="0" orientation="portrait" r:id="rId1"/>
  <headerFooter>
    <oddFooter>&amp;L_x000D_&amp;1#&amp;"Aptos"&amp;8&amp;K000000 LIMITED SHARING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D8DC1-7F59-40BB-8090-555BA5CC63CE}">
  <sheetPr>
    <tabColor theme="1"/>
  </sheetPr>
  <dimension ref="A1"/>
  <sheetViews>
    <sheetView showGridLines="0" workbookViewId="0">
      <selection activeCell="J22" sqref="J22"/>
    </sheetView>
  </sheetViews>
  <sheetFormatPr defaultRowHeight="15" x14ac:dyDescent="0.25"/>
  <sheetData/>
  <pageMargins left="0.7" right="0.7" top="0.75" bottom="0.75" header="0.3" footer="0.3"/>
  <headerFooter>
    <oddFooter>&amp;L_x000D_&amp;1#&amp;"Aptos"&amp;8&amp;K000000 LIMITED SHARING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C9B83-7965-4512-B653-909089F87D9D}">
  <sheetPr>
    <tabColor rgb="FF00CC99"/>
  </sheetPr>
  <dimension ref="B1:M64"/>
  <sheetViews>
    <sheetView zoomScale="90" zoomScaleNormal="90" workbookViewId="0">
      <selection activeCell="C32" sqref="C32"/>
    </sheetView>
  </sheetViews>
  <sheetFormatPr defaultColWidth="8.5703125" defaultRowHeight="12.75" x14ac:dyDescent="0.2"/>
  <cols>
    <col min="1" max="1" width="8.5703125" style="168"/>
    <col min="2" max="2" width="36.85546875" style="168" customWidth="1"/>
    <col min="3" max="3" width="20.85546875" style="168" customWidth="1"/>
    <col min="4" max="6" width="22.140625" style="168" customWidth="1"/>
    <col min="7" max="7" width="12.140625" style="168" customWidth="1"/>
    <col min="8" max="9" width="13.85546875" style="168" customWidth="1"/>
    <col min="10" max="10" width="12.42578125" style="168" customWidth="1"/>
    <col min="11" max="11" width="14.140625" style="168" customWidth="1"/>
    <col min="12" max="12" width="46" style="168" customWidth="1"/>
    <col min="13" max="14" width="11.140625" style="168" customWidth="1"/>
    <col min="15" max="15" width="15" style="168" customWidth="1"/>
    <col min="16" max="22" width="11.140625" style="168" customWidth="1"/>
    <col min="23" max="23" width="10" style="168" customWidth="1"/>
    <col min="24" max="24" width="13.85546875" style="168" customWidth="1"/>
    <col min="25" max="25" width="10" style="168" customWidth="1"/>
    <col min="26" max="33" width="11.140625" style="168" customWidth="1"/>
    <col min="34" max="34" width="10" style="168" customWidth="1"/>
    <col min="35" max="35" width="13.85546875" style="168" customWidth="1"/>
    <col min="36" max="36" width="5.140625" style="168" customWidth="1"/>
    <col min="37" max="16384" width="8.5703125" style="168"/>
  </cols>
  <sheetData>
    <row r="1" spans="2:11" ht="13.5" thickBot="1" x14ac:dyDescent="0.25"/>
    <row r="2" spans="2:11" ht="13.5" thickBot="1" x14ac:dyDescent="0.25">
      <c r="B2" s="169" t="s">
        <v>321</v>
      </c>
      <c r="D2" s="223" t="s">
        <v>322</v>
      </c>
      <c r="E2" s="223"/>
      <c r="F2" s="223"/>
      <c r="G2" s="223"/>
      <c r="H2" s="223"/>
      <c r="I2" s="223"/>
      <c r="J2" s="223"/>
    </row>
    <row r="3" spans="2:11" x14ac:dyDescent="0.2">
      <c r="B3" s="170" t="s">
        <v>323</v>
      </c>
      <c r="C3" s="171" t="s">
        <v>324</v>
      </c>
      <c r="D3" s="172">
        <v>2026</v>
      </c>
      <c r="E3" s="172">
        <v>2027</v>
      </c>
      <c r="F3" s="172">
        <v>2028</v>
      </c>
      <c r="G3" s="172">
        <v>2029</v>
      </c>
      <c r="H3" s="172">
        <v>2030</v>
      </c>
      <c r="I3" s="172">
        <v>2031</v>
      </c>
      <c r="J3" s="172">
        <v>2032</v>
      </c>
    </row>
    <row r="4" spans="2:11" x14ac:dyDescent="0.2">
      <c r="B4" s="173" t="s">
        <v>325</v>
      </c>
      <c r="C4" s="174">
        <v>5</v>
      </c>
      <c r="D4" s="174"/>
      <c r="E4" s="174"/>
      <c r="F4" s="174"/>
      <c r="G4" s="174"/>
      <c r="H4" s="174"/>
      <c r="I4" s="174"/>
      <c r="J4" s="174"/>
    </row>
    <row r="5" spans="2:11" x14ac:dyDescent="0.2">
      <c r="B5" s="173" t="s">
        <v>326</v>
      </c>
      <c r="C5" s="174">
        <v>353778.70940914156</v>
      </c>
      <c r="D5" s="174"/>
      <c r="E5" s="174"/>
      <c r="F5" s="174"/>
      <c r="G5" s="174"/>
      <c r="H5" s="174"/>
      <c r="I5" s="174"/>
      <c r="J5" s="174"/>
    </row>
    <row r="6" spans="2:11" x14ac:dyDescent="0.2">
      <c r="B6" s="173" t="s">
        <v>327</v>
      </c>
      <c r="C6" s="174">
        <v>0</v>
      </c>
      <c r="D6" s="174"/>
      <c r="E6" s="174"/>
      <c r="F6" s="174"/>
      <c r="G6" s="174"/>
      <c r="H6" s="174"/>
      <c r="I6" s="174"/>
      <c r="J6" s="174"/>
    </row>
    <row r="7" spans="2:11" x14ac:dyDescent="0.2">
      <c r="B7" s="175" t="s">
        <v>328</v>
      </c>
      <c r="C7" s="176">
        <f>C5+C6</f>
        <v>353778.70940914156</v>
      </c>
      <c r="D7" s="174"/>
      <c r="E7" s="174"/>
      <c r="F7" s="174"/>
      <c r="G7" s="174"/>
      <c r="H7" s="174"/>
      <c r="I7" s="174"/>
      <c r="J7" s="174"/>
    </row>
    <row r="8" spans="2:11" ht="13.5" thickBot="1" x14ac:dyDescent="0.25">
      <c r="B8" s="177" t="s">
        <v>329</v>
      </c>
      <c r="C8" s="178"/>
      <c r="D8" s="179">
        <f>$C$7/15*'EBIT &amp; Costi interni AT'!D4</f>
        <v>11824.932204908295</v>
      </c>
      <c r="E8" s="179">
        <f>$C$7/15*'EBIT &amp; Costi interni AT'!E4</f>
        <v>23585.247293942772</v>
      </c>
      <c r="F8" s="179">
        <f>$C$7/15*'EBIT &amp; Costi interni AT'!F4</f>
        <v>23585.247293942772</v>
      </c>
      <c r="G8" s="179">
        <f>$C$7/15*'EBIT &amp; Costi interni AT'!G4</f>
        <v>23585.247293942772</v>
      </c>
      <c r="H8" s="179">
        <f>$C$7/15*'EBIT &amp; Costi interni AT'!H4</f>
        <v>23585.247293942772</v>
      </c>
      <c r="I8" s="179">
        <f>$C$7/15*'EBIT &amp; Costi interni AT'!I4</f>
        <v>23585.247293942772</v>
      </c>
      <c r="J8" s="179">
        <f>$C$7/15*'EBIT &amp; Costi interni AT'!J4</f>
        <v>15723.498195961847</v>
      </c>
      <c r="K8" s="174">
        <v>15</v>
      </c>
    </row>
    <row r="9" spans="2:11" ht="13.5" thickBot="1" x14ac:dyDescent="0.25">
      <c r="B9" s="180" t="s">
        <v>330</v>
      </c>
      <c r="C9" s="181"/>
      <c r="D9" s="181">
        <f>+C7-D8</f>
        <v>341953.77720423328</v>
      </c>
      <c r="E9" s="181">
        <f>D9-E8</f>
        <v>318368.5299102905</v>
      </c>
      <c r="F9" s="181">
        <f t="shared" ref="F9:J9" si="0">E9-F8</f>
        <v>294783.28261634771</v>
      </c>
      <c r="G9" s="181">
        <f t="shared" si="0"/>
        <v>271198.03532240493</v>
      </c>
      <c r="H9" s="181">
        <f t="shared" si="0"/>
        <v>247612.78802846215</v>
      </c>
      <c r="I9" s="181">
        <f t="shared" si="0"/>
        <v>224027.54073451937</v>
      </c>
      <c r="J9" s="181">
        <f t="shared" si="0"/>
        <v>208304.04253855752</v>
      </c>
    </row>
    <row r="11" spans="2:11" ht="13.5" thickBot="1" x14ac:dyDescent="0.25"/>
    <row r="12" spans="2:11" ht="13.5" thickBot="1" x14ac:dyDescent="0.25">
      <c r="B12" s="169" t="s">
        <v>321</v>
      </c>
      <c r="D12" s="223" t="s">
        <v>322</v>
      </c>
      <c r="E12" s="223"/>
      <c r="F12" s="223"/>
      <c r="G12" s="223"/>
      <c r="H12" s="223"/>
      <c r="I12" s="223"/>
      <c r="J12" s="223"/>
    </row>
    <row r="13" spans="2:11" x14ac:dyDescent="0.2">
      <c r="B13" s="170" t="s">
        <v>331</v>
      </c>
      <c r="C13" s="171" t="s">
        <v>324</v>
      </c>
      <c r="D13" s="172">
        <f>D$3</f>
        <v>2026</v>
      </c>
      <c r="E13" s="172">
        <f t="shared" ref="E13:J13" si="1">E$3</f>
        <v>2027</v>
      </c>
      <c r="F13" s="172">
        <f t="shared" si="1"/>
        <v>2028</v>
      </c>
      <c r="G13" s="172">
        <f t="shared" si="1"/>
        <v>2029</v>
      </c>
      <c r="H13" s="172">
        <f t="shared" si="1"/>
        <v>2030</v>
      </c>
      <c r="I13" s="172">
        <f t="shared" si="1"/>
        <v>2031</v>
      </c>
      <c r="J13" s="172">
        <f t="shared" si="1"/>
        <v>2032</v>
      </c>
    </row>
    <row r="14" spans="2:11" x14ac:dyDescent="0.2">
      <c r="B14" s="173" t="s">
        <v>332</v>
      </c>
      <c r="C14" s="174">
        <v>0</v>
      </c>
      <c r="D14" s="174"/>
      <c r="E14" s="174"/>
      <c r="F14" s="174"/>
      <c r="G14" s="174"/>
      <c r="H14" s="174"/>
      <c r="I14" s="174"/>
      <c r="J14" s="174"/>
    </row>
    <row r="15" spans="2:11" x14ac:dyDescent="0.2">
      <c r="B15" s="173" t="s">
        <v>333</v>
      </c>
      <c r="C15" s="174"/>
      <c r="D15" s="174"/>
      <c r="E15" s="174"/>
      <c r="F15" s="174"/>
      <c r="G15" s="174"/>
      <c r="H15" s="174"/>
      <c r="I15" s="174"/>
      <c r="J15" s="174"/>
    </row>
    <row r="16" spans="2:11" ht="13.5" thickBot="1" x14ac:dyDescent="0.25">
      <c r="B16" s="177" t="s">
        <v>329</v>
      </c>
      <c r="C16" s="178"/>
      <c r="D16" s="178">
        <v>0</v>
      </c>
      <c r="E16" s="178"/>
      <c r="F16" s="178"/>
      <c r="G16" s="178">
        <v>0</v>
      </c>
      <c r="H16" s="178">
        <f>(+$C$15-$D$16-$G$16)/$K$16</f>
        <v>0</v>
      </c>
      <c r="I16" s="178">
        <f>(+$C$15-$D$16-$G$16)/$K$16</f>
        <v>0</v>
      </c>
      <c r="J16" s="178">
        <f>(+$C$15-$D$16-$G$16)/$K$16</f>
        <v>0</v>
      </c>
      <c r="K16" s="174">
        <v>6</v>
      </c>
    </row>
    <row r="17" spans="2:13" ht="13.5" thickBot="1" x14ac:dyDescent="0.25">
      <c r="B17" s="180" t="s">
        <v>330</v>
      </c>
      <c r="C17" s="181"/>
      <c r="D17" s="181">
        <f>+C15-D16</f>
        <v>0</v>
      </c>
      <c r="E17" s="181"/>
      <c r="F17" s="181"/>
      <c r="G17" s="181">
        <f>+D17-G16</f>
        <v>0</v>
      </c>
      <c r="H17" s="181">
        <f t="shared" ref="H17:J17" si="2">+G17-H16</f>
        <v>0</v>
      </c>
      <c r="I17" s="181">
        <f t="shared" si="2"/>
        <v>0</v>
      </c>
      <c r="J17" s="181">
        <f t="shared" si="2"/>
        <v>0</v>
      </c>
    </row>
    <row r="18" spans="2:13" ht="13.5" thickBot="1" x14ac:dyDescent="0.25"/>
    <row r="19" spans="2:13" ht="13.5" thickBot="1" x14ac:dyDescent="0.25">
      <c r="B19" s="169" t="s">
        <v>321</v>
      </c>
      <c r="D19" s="224" t="s">
        <v>322</v>
      </c>
      <c r="E19" s="225"/>
      <c r="F19" s="225"/>
      <c r="G19" s="225"/>
      <c r="H19" s="225"/>
      <c r="I19" s="225"/>
      <c r="J19" s="225"/>
    </row>
    <row r="20" spans="2:13" x14ac:dyDescent="0.2">
      <c r="B20" s="170" t="s">
        <v>331</v>
      </c>
      <c r="C20" s="171" t="s">
        <v>324</v>
      </c>
      <c r="D20" s="172">
        <f t="shared" ref="D20:J20" si="3">D$3</f>
        <v>2026</v>
      </c>
      <c r="E20" s="172">
        <f t="shared" si="3"/>
        <v>2027</v>
      </c>
      <c r="F20" s="172">
        <f t="shared" si="3"/>
        <v>2028</v>
      </c>
      <c r="G20" s="172">
        <f t="shared" si="3"/>
        <v>2029</v>
      </c>
      <c r="H20" s="172">
        <f t="shared" si="3"/>
        <v>2030</v>
      </c>
      <c r="I20" s="172">
        <f t="shared" si="3"/>
        <v>2031</v>
      </c>
      <c r="J20" s="172">
        <f t="shared" si="3"/>
        <v>2032</v>
      </c>
    </row>
    <row r="21" spans="2:13" x14ac:dyDescent="0.2">
      <c r="B21" s="173" t="s">
        <v>332</v>
      </c>
      <c r="C21" s="182"/>
      <c r="D21" s="174"/>
      <c r="E21" s="174"/>
      <c r="F21" s="174"/>
      <c r="G21" s="174"/>
      <c r="H21" s="174"/>
      <c r="I21" s="174"/>
      <c r="J21" s="174"/>
      <c r="M21" s="183"/>
    </row>
    <row r="22" spans="2:13" x14ac:dyDescent="0.2">
      <c r="B22" s="173" t="s">
        <v>333</v>
      </c>
      <c r="C22" s="182">
        <f>+C21*M21</f>
        <v>0</v>
      </c>
      <c r="D22" s="174"/>
      <c r="E22" s="174"/>
      <c r="F22" s="174"/>
      <c r="G22" s="174"/>
      <c r="H22" s="174"/>
      <c r="I22" s="174"/>
      <c r="J22" s="174"/>
    </row>
    <row r="23" spans="2:13" ht="13.5" thickBot="1" x14ac:dyDescent="0.25">
      <c r="B23" s="177" t="s">
        <v>329</v>
      </c>
      <c r="C23" s="178"/>
      <c r="D23" s="184">
        <f t="shared" ref="D23:J23" si="4">$C$22/15</f>
        <v>0</v>
      </c>
      <c r="E23" s="184"/>
      <c r="F23" s="184"/>
      <c r="G23" s="184">
        <f t="shared" si="4"/>
        <v>0</v>
      </c>
      <c r="H23" s="184">
        <f t="shared" si="4"/>
        <v>0</v>
      </c>
      <c r="I23" s="184">
        <f t="shared" si="4"/>
        <v>0</v>
      </c>
      <c r="J23" s="184">
        <f t="shared" si="4"/>
        <v>0</v>
      </c>
      <c r="K23" s="174">
        <v>6</v>
      </c>
    </row>
    <row r="24" spans="2:13" ht="13.5" thickBot="1" x14ac:dyDescent="0.25">
      <c r="B24" s="180" t="s">
        <v>330</v>
      </c>
      <c r="C24" s="181">
        <f>C22</f>
        <v>0</v>
      </c>
      <c r="D24" s="185">
        <f>+C22-D23</f>
        <v>0</v>
      </c>
      <c r="E24" s="185"/>
      <c r="F24" s="185"/>
      <c r="G24" s="185">
        <f>+D24-G23</f>
        <v>0</v>
      </c>
      <c r="H24" s="185">
        <f t="shared" ref="H24:J24" si="5">+G24-H23</f>
        <v>0</v>
      </c>
      <c r="I24" s="185">
        <f t="shared" si="5"/>
        <v>0</v>
      </c>
      <c r="J24" s="185">
        <f t="shared" si="5"/>
        <v>0</v>
      </c>
    </row>
    <row r="26" spans="2:13" ht="13.5" thickBot="1" x14ac:dyDescent="0.25">
      <c r="B26" s="168" t="s">
        <v>334</v>
      </c>
      <c r="C26" s="186">
        <f>+C22+C15</f>
        <v>0</v>
      </c>
    </row>
    <row r="27" spans="2:13" ht="13.5" thickBot="1" x14ac:dyDescent="0.25">
      <c r="C27" s="187"/>
    </row>
    <row r="28" spans="2:13" ht="13.5" thickBot="1" x14ac:dyDescent="0.25">
      <c r="B28" s="169" t="s">
        <v>321</v>
      </c>
      <c r="D28" s="223" t="s">
        <v>322</v>
      </c>
      <c r="E28" s="223"/>
      <c r="F28" s="223"/>
      <c r="G28" s="223"/>
      <c r="H28" s="223"/>
      <c r="I28" s="223"/>
      <c r="J28" s="223"/>
    </row>
    <row r="29" spans="2:13" x14ac:dyDescent="0.2">
      <c r="B29" s="170" t="s">
        <v>335</v>
      </c>
      <c r="C29" s="171" t="s">
        <v>324</v>
      </c>
      <c r="D29" s="172">
        <f t="shared" ref="D29:J29" si="6">D$3</f>
        <v>2026</v>
      </c>
      <c r="E29" s="172">
        <f t="shared" si="6"/>
        <v>2027</v>
      </c>
      <c r="F29" s="172">
        <f t="shared" si="6"/>
        <v>2028</v>
      </c>
      <c r="G29" s="172">
        <f t="shared" si="6"/>
        <v>2029</v>
      </c>
      <c r="H29" s="172">
        <f t="shared" si="6"/>
        <v>2030</v>
      </c>
      <c r="I29" s="172">
        <f t="shared" si="6"/>
        <v>2031</v>
      </c>
      <c r="J29" s="172">
        <f t="shared" si="6"/>
        <v>2032</v>
      </c>
    </row>
    <row r="30" spans="2:13" x14ac:dyDescent="0.2">
      <c r="B30" s="173" t="s">
        <v>336</v>
      </c>
      <c r="C30" s="174">
        <v>54776.284022273154</v>
      </c>
      <c r="D30" s="174"/>
      <c r="E30" s="174"/>
      <c r="F30" s="174"/>
      <c r="G30" s="174"/>
      <c r="H30" s="174"/>
      <c r="I30" s="174"/>
      <c r="J30" s="174"/>
    </row>
    <row r="31" spans="2:13" ht="13.5" thickBot="1" x14ac:dyDescent="0.25">
      <c r="B31" s="177" t="s">
        <v>329</v>
      </c>
      <c r="C31" s="178"/>
      <c r="D31" s="178">
        <f>$C$30/$K$31*'EBIT &amp; Costi interni AT'!D4</f>
        <v>549.26356033293075</v>
      </c>
      <c r="E31" s="178">
        <f>$C$30/$K$31*'EBIT &amp; Costi interni AT'!E4</f>
        <v>1095.525680445463</v>
      </c>
      <c r="F31" s="178">
        <f>$C$30/$K$31*'EBIT &amp; Costi interni AT'!F4</f>
        <v>1095.525680445463</v>
      </c>
      <c r="G31" s="178">
        <f>$C$30/$K$31*'EBIT &amp; Costi interni AT'!G4</f>
        <v>1095.525680445463</v>
      </c>
      <c r="H31" s="178">
        <f>$C$30/$K$31*'EBIT &amp; Costi interni AT'!H4</f>
        <v>1095.525680445463</v>
      </c>
      <c r="I31" s="178">
        <f>$C$30/$K$31*'EBIT &amp; Costi interni AT'!I4</f>
        <v>1095.525680445463</v>
      </c>
      <c r="J31" s="178">
        <f>$C$30/$K$31*'EBIT &amp; Costi interni AT'!J4</f>
        <v>730.35045363030861</v>
      </c>
      <c r="K31" s="174">
        <v>50</v>
      </c>
      <c r="L31" s="187"/>
    </row>
    <row r="32" spans="2:13" ht="13.5" thickBot="1" x14ac:dyDescent="0.25">
      <c r="B32" s="180" t="s">
        <v>330</v>
      </c>
      <c r="C32" s="181"/>
      <c r="D32" s="181">
        <f>C30-D31</f>
        <v>54227.020461940221</v>
      </c>
      <c r="E32" s="181">
        <f>D32-E31</f>
        <v>53131.494781494759</v>
      </c>
      <c r="F32" s="181">
        <f t="shared" ref="F32:J32" si="7">E32-F31</f>
        <v>52035.969101049297</v>
      </c>
      <c r="G32" s="181">
        <f t="shared" si="7"/>
        <v>50940.443420603835</v>
      </c>
      <c r="H32" s="181">
        <f t="shared" si="7"/>
        <v>49844.917740158373</v>
      </c>
      <c r="I32" s="181">
        <f t="shared" si="7"/>
        <v>48749.392059712911</v>
      </c>
      <c r="J32" s="181">
        <f t="shared" si="7"/>
        <v>48019.041606082603</v>
      </c>
    </row>
    <row r="33" spans="2:12" ht="13.5" thickBot="1" x14ac:dyDescent="0.25">
      <c r="C33" s="174"/>
      <c r="D33" s="181"/>
      <c r="E33" s="181"/>
      <c r="F33" s="181"/>
      <c r="G33" s="181"/>
      <c r="H33" s="181"/>
      <c r="I33" s="181"/>
      <c r="J33" s="181"/>
    </row>
    <row r="34" spans="2:12" ht="13.5" thickBot="1" x14ac:dyDescent="0.25">
      <c r="B34" s="169"/>
      <c r="D34" s="223" t="s">
        <v>322</v>
      </c>
      <c r="E34" s="223"/>
      <c r="F34" s="223"/>
      <c r="G34" s="223"/>
      <c r="H34" s="223"/>
      <c r="I34" s="223"/>
      <c r="J34" s="223"/>
    </row>
    <row r="35" spans="2:12" x14ac:dyDescent="0.2">
      <c r="B35" s="170" t="s">
        <v>337</v>
      </c>
      <c r="C35" s="171" t="s">
        <v>324</v>
      </c>
      <c r="D35" s="172">
        <f t="shared" ref="D35:J35" si="8">D$3</f>
        <v>2026</v>
      </c>
      <c r="E35" s="172">
        <f t="shared" si="8"/>
        <v>2027</v>
      </c>
      <c r="F35" s="172">
        <f t="shared" si="8"/>
        <v>2028</v>
      </c>
      <c r="G35" s="172">
        <f t="shared" si="8"/>
        <v>2029</v>
      </c>
      <c r="H35" s="172">
        <f t="shared" si="8"/>
        <v>2030</v>
      </c>
      <c r="I35" s="172">
        <f t="shared" si="8"/>
        <v>2031</v>
      </c>
      <c r="J35" s="172">
        <f t="shared" si="8"/>
        <v>2032</v>
      </c>
    </row>
    <row r="36" spans="2:12" x14ac:dyDescent="0.2">
      <c r="B36" s="173" t="s">
        <v>338</v>
      </c>
      <c r="C36" s="174">
        <v>4443.3928000000005</v>
      </c>
      <c r="D36" s="182"/>
      <c r="E36" s="182"/>
      <c r="F36" s="182"/>
      <c r="G36" s="182"/>
      <c r="H36" s="182"/>
      <c r="I36" s="182"/>
      <c r="J36" s="182"/>
    </row>
    <row r="37" spans="2:12" x14ac:dyDescent="0.2">
      <c r="B37" s="173" t="s">
        <v>337</v>
      </c>
      <c r="C37" s="182">
        <v>0</v>
      </c>
      <c r="D37" s="182"/>
      <c r="E37" s="182"/>
      <c r="F37" s="182"/>
      <c r="G37" s="182"/>
      <c r="H37" s="182"/>
      <c r="I37" s="182"/>
      <c r="J37" s="182"/>
    </row>
    <row r="38" spans="2:12" x14ac:dyDescent="0.2">
      <c r="B38" s="173" t="s">
        <v>339</v>
      </c>
      <c r="C38" s="182">
        <v>0</v>
      </c>
      <c r="D38" s="182"/>
      <c r="E38" s="182"/>
      <c r="F38" s="182"/>
      <c r="G38" s="182"/>
      <c r="H38" s="182">
        <f>+$C$38/$K$38</f>
        <v>0</v>
      </c>
      <c r="I38" s="182">
        <f>+$C$38/$K$38</f>
        <v>0</v>
      </c>
      <c r="J38" s="182">
        <f>+$C$38/$K$38</f>
        <v>0</v>
      </c>
      <c r="K38" s="174">
        <v>50</v>
      </c>
      <c r="L38" s="187"/>
    </row>
    <row r="39" spans="2:12" ht="13.5" thickBot="1" x14ac:dyDescent="0.25">
      <c r="B39" s="177" t="s">
        <v>329</v>
      </c>
      <c r="C39" s="184"/>
      <c r="D39" s="184"/>
      <c r="E39" s="184"/>
      <c r="F39" s="184"/>
      <c r="G39" s="184"/>
      <c r="H39" s="184"/>
      <c r="I39" s="184"/>
      <c r="J39" s="184"/>
      <c r="K39" s="174">
        <v>50</v>
      </c>
    </row>
    <row r="40" spans="2:12" ht="13.5" thickBot="1" x14ac:dyDescent="0.25">
      <c r="B40" s="180" t="s">
        <v>330</v>
      </c>
      <c r="C40" s="181"/>
      <c r="D40" s="181">
        <f>+C36-D39</f>
        <v>4443.3928000000005</v>
      </c>
      <c r="E40" s="181">
        <f>D40-E39</f>
        <v>4443.3928000000005</v>
      </c>
      <c r="F40" s="181">
        <f t="shared" ref="F40:J40" si="9">E40-F39</f>
        <v>4443.3928000000005</v>
      </c>
      <c r="G40" s="181">
        <f t="shared" si="9"/>
        <v>4443.3928000000005</v>
      </c>
      <c r="H40" s="181">
        <f t="shared" si="9"/>
        <v>4443.3928000000005</v>
      </c>
      <c r="I40" s="181">
        <f t="shared" si="9"/>
        <v>4443.3928000000005</v>
      </c>
      <c r="J40" s="181">
        <f t="shared" si="9"/>
        <v>4443.3928000000005</v>
      </c>
    </row>
    <row r="42" spans="2:12" ht="13.5" thickBot="1" x14ac:dyDescent="0.25">
      <c r="B42" s="169" t="s">
        <v>321</v>
      </c>
      <c r="D42" s="226"/>
      <c r="E42" s="226"/>
      <c r="F42" s="226"/>
      <c r="G42" s="226"/>
      <c r="H42" s="226"/>
      <c r="I42" s="226"/>
      <c r="J42" s="226"/>
    </row>
    <row r="43" spans="2:12" ht="13.5" thickBot="1" x14ac:dyDescent="0.25">
      <c r="B43" s="170" t="s">
        <v>340</v>
      </c>
      <c r="C43" s="171"/>
      <c r="D43" s="172">
        <f t="shared" ref="D43:J43" si="10">D$3</f>
        <v>2026</v>
      </c>
      <c r="E43" s="172">
        <f t="shared" si="10"/>
        <v>2027</v>
      </c>
      <c r="F43" s="172">
        <f t="shared" si="10"/>
        <v>2028</v>
      </c>
      <c r="G43" s="172">
        <f t="shared" si="10"/>
        <v>2029</v>
      </c>
      <c r="H43" s="172">
        <f t="shared" si="10"/>
        <v>2030</v>
      </c>
      <c r="I43" s="172">
        <f t="shared" si="10"/>
        <v>2031</v>
      </c>
      <c r="J43" s="172">
        <f t="shared" si="10"/>
        <v>2032</v>
      </c>
    </row>
    <row r="44" spans="2:12" ht="13.5" thickBot="1" x14ac:dyDescent="0.25">
      <c r="B44" s="180" t="s">
        <v>341</v>
      </c>
      <c r="C44" s="188"/>
      <c r="D44" s="189">
        <f>M50</f>
        <v>0</v>
      </c>
      <c r="E44" s="189"/>
      <c r="F44" s="189"/>
      <c r="G44" s="189"/>
      <c r="H44" s="189"/>
      <c r="I44" s="189"/>
      <c r="J44" s="189"/>
    </row>
    <row r="45" spans="2:12" ht="13.5" thickBot="1" x14ac:dyDescent="0.25">
      <c r="C45" s="174"/>
      <c r="D45" s="178"/>
      <c r="E45" s="178"/>
      <c r="F45" s="178"/>
      <c r="G45" s="178"/>
      <c r="H45" s="178"/>
      <c r="I45" s="178"/>
      <c r="J45" s="178"/>
    </row>
    <row r="46" spans="2:12" ht="13.5" thickBot="1" x14ac:dyDescent="0.25">
      <c r="B46" s="169"/>
      <c r="D46" s="223"/>
      <c r="E46" s="223"/>
      <c r="F46" s="223"/>
      <c r="G46" s="223"/>
      <c r="H46" s="223"/>
      <c r="I46" s="223"/>
      <c r="J46" s="223"/>
    </row>
    <row r="47" spans="2:12" ht="13.5" thickBot="1" x14ac:dyDescent="0.25">
      <c r="B47" s="170" t="s">
        <v>340</v>
      </c>
      <c r="C47" s="171"/>
      <c r="D47" s="172">
        <f t="shared" ref="D47:J47" si="11">D$3</f>
        <v>2026</v>
      </c>
      <c r="E47" s="172">
        <f t="shared" si="11"/>
        <v>2027</v>
      </c>
      <c r="F47" s="172">
        <f t="shared" si="11"/>
        <v>2028</v>
      </c>
      <c r="G47" s="172">
        <f t="shared" si="11"/>
        <v>2029</v>
      </c>
      <c r="H47" s="172">
        <f t="shared" si="11"/>
        <v>2030</v>
      </c>
      <c r="I47" s="172">
        <f t="shared" si="11"/>
        <v>2031</v>
      </c>
      <c r="J47" s="172">
        <f t="shared" si="11"/>
        <v>2032</v>
      </c>
    </row>
    <row r="48" spans="2:12" ht="13.5" thickBot="1" x14ac:dyDescent="0.25">
      <c r="B48" s="180" t="s">
        <v>341</v>
      </c>
      <c r="C48" s="188"/>
      <c r="D48" s="181"/>
      <c r="E48" s="181"/>
      <c r="F48" s="181"/>
      <c r="G48" s="181"/>
      <c r="H48" s="181"/>
      <c r="I48" s="181">
        <v>0</v>
      </c>
      <c r="J48" s="181">
        <v>0</v>
      </c>
    </row>
    <row r="50" spans="2:11" ht="13.5" thickBot="1" x14ac:dyDescent="0.25"/>
    <row r="51" spans="2:11" ht="13.5" thickBot="1" x14ac:dyDescent="0.25">
      <c r="B51" s="169" t="s">
        <v>342</v>
      </c>
      <c r="D51" s="223" t="s">
        <v>322</v>
      </c>
      <c r="E51" s="223"/>
      <c r="F51" s="223"/>
      <c r="G51" s="223"/>
      <c r="H51" s="223"/>
      <c r="I51" s="223"/>
      <c r="J51" s="223"/>
    </row>
    <row r="52" spans="2:11" x14ac:dyDescent="0.2">
      <c r="B52" s="170" t="s">
        <v>343</v>
      </c>
      <c r="C52" s="171" t="s">
        <v>324</v>
      </c>
      <c r="D52" s="172">
        <f t="shared" ref="D52:J52" si="12">D$3</f>
        <v>2026</v>
      </c>
      <c r="E52" s="172">
        <f t="shared" si="12"/>
        <v>2027</v>
      </c>
      <c r="F52" s="172">
        <f t="shared" si="12"/>
        <v>2028</v>
      </c>
      <c r="G52" s="172">
        <f t="shared" si="12"/>
        <v>2029</v>
      </c>
      <c r="H52" s="172">
        <f t="shared" si="12"/>
        <v>2030</v>
      </c>
      <c r="I52" s="172">
        <f t="shared" si="12"/>
        <v>2031</v>
      </c>
      <c r="J52" s="172">
        <f t="shared" si="12"/>
        <v>2032</v>
      </c>
    </row>
    <row r="53" spans="2:11" x14ac:dyDescent="0.2">
      <c r="B53" s="173" t="s">
        <v>344</v>
      </c>
      <c r="C53" s="174"/>
      <c r="D53" s="174"/>
      <c r="E53" s="174"/>
      <c r="F53" s="174"/>
    </row>
    <row r="54" spans="2:11" x14ac:dyDescent="0.2">
      <c r="B54" s="173" t="s">
        <v>329</v>
      </c>
      <c r="C54" s="174"/>
      <c r="D54" s="174"/>
      <c r="E54" s="174"/>
      <c r="F54" s="174"/>
      <c r="G54" s="174"/>
      <c r="H54" s="174"/>
      <c r="I54" s="174"/>
      <c r="J54" s="174"/>
      <c r="K54" s="174">
        <v>8</v>
      </c>
    </row>
    <row r="55" spans="2:11" x14ac:dyDescent="0.2">
      <c r="B55" s="190" t="s">
        <v>345</v>
      </c>
      <c r="C55" s="191"/>
      <c r="D55" s="191"/>
      <c r="E55" s="191"/>
      <c r="F55" s="191"/>
      <c r="G55" s="191"/>
      <c r="H55" s="191"/>
      <c r="I55" s="191"/>
      <c r="J55" s="191"/>
    </row>
    <row r="56" spans="2:11" x14ac:dyDescent="0.2">
      <c r="B56" s="173" t="s">
        <v>329</v>
      </c>
      <c r="D56" s="174"/>
      <c r="E56" s="174"/>
      <c r="F56" s="174"/>
      <c r="G56" s="174"/>
      <c r="H56" s="174"/>
      <c r="I56" s="174"/>
      <c r="J56" s="174"/>
      <c r="K56" s="174">
        <v>8</v>
      </c>
    </row>
    <row r="57" spans="2:11" x14ac:dyDescent="0.2">
      <c r="B57" s="192" t="s">
        <v>346</v>
      </c>
      <c r="C57" s="182"/>
      <c r="D57" s="182"/>
      <c r="E57" s="182"/>
      <c r="F57" s="182"/>
      <c r="G57" s="193"/>
      <c r="H57" s="193"/>
      <c r="I57" s="193"/>
      <c r="J57" s="193"/>
    </row>
    <row r="58" spans="2:11" x14ac:dyDescent="0.2">
      <c r="B58" s="173" t="s">
        <v>329</v>
      </c>
      <c r="D58" s="174"/>
      <c r="E58" s="174"/>
      <c r="F58" s="174"/>
      <c r="G58" s="174"/>
      <c r="H58" s="174"/>
      <c r="I58" s="174"/>
      <c r="J58" s="174"/>
      <c r="K58" s="174">
        <v>6</v>
      </c>
    </row>
    <row r="59" spans="2:11" x14ac:dyDescent="0.2">
      <c r="B59" s="192" t="s">
        <v>347</v>
      </c>
      <c r="C59" s="193">
        <v>17137.672090932516</v>
      </c>
      <c r="D59" s="194"/>
      <c r="E59" s="194"/>
      <c r="F59" s="194"/>
      <c r="G59" s="193"/>
      <c r="H59" s="193"/>
      <c r="I59" s="193"/>
      <c r="J59" s="193"/>
    </row>
    <row r="60" spans="2:11" ht="13.5" thickBot="1" x14ac:dyDescent="0.25">
      <c r="B60" s="173" t="s">
        <v>329</v>
      </c>
      <c r="D60" s="174">
        <f>$C$59/$K$60*'EBIT &amp; Costi interni AT'!D4</f>
        <v>1074.0390385755652</v>
      </c>
      <c r="E60" s="174">
        <f>$C$59/$K$60*'EBIT &amp; Costi interni AT'!E4</f>
        <v>2142.2090113665645</v>
      </c>
      <c r="F60" s="174">
        <f>$C$59/$K$60*'EBIT &amp; Costi interni AT'!F4</f>
        <v>2142.2090113665645</v>
      </c>
      <c r="G60" s="174">
        <f>$C$59/$K$60*'EBIT &amp; Costi interni AT'!G4</f>
        <v>2142.2090113665645</v>
      </c>
      <c r="H60" s="174">
        <f>$C$59/$K$60*'EBIT &amp; Costi interni AT'!H4</f>
        <v>2142.2090113665645</v>
      </c>
      <c r="I60" s="174">
        <f>$C$59/$K$60*'EBIT &amp; Costi interni AT'!I4</f>
        <v>2142.2090113665645</v>
      </c>
      <c r="J60" s="174">
        <f>$C$59/$K$60*'EBIT &amp; Costi interni AT'!J4</f>
        <v>1428.1393409110428</v>
      </c>
      <c r="K60" s="174">
        <v>8</v>
      </c>
    </row>
    <row r="61" spans="2:11" ht="13.5" thickBot="1" x14ac:dyDescent="0.25">
      <c r="B61" s="180" t="s">
        <v>330</v>
      </c>
      <c r="C61" s="181"/>
      <c r="D61" s="181">
        <f>C59-D60</f>
        <v>16063.63305235695</v>
      </c>
      <c r="E61" s="181">
        <f>D61-E60</f>
        <v>13921.424040990387</v>
      </c>
      <c r="F61" s="181">
        <f t="shared" ref="F61:J61" si="13">E61-F60</f>
        <v>11779.215029623821</v>
      </c>
      <c r="G61" s="181">
        <f t="shared" si="13"/>
        <v>9637.0060182572561</v>
      </c>
      <c r="H61" s="181">
        <f t="shared" si="13"/>
        <v>7494.7970068906916</v>
      </c>
      <c r="I61" s="181">
        <f t="shared" si="13"/>
        <v>5352.5879955241271</v>
      </c>
      <c r="J61" s="181">
        <f t="shared" si="13"/>
        <v>3924.4486546130843</v>
      </c>
    </row>
    <row r="63" spans="2:11" x14ac:dyDescent="0.2">
      <c r="C63" s="195"/>
    </row>
    <row r="64" spans="2:11" x14ac:dyDescent="0.2">
      <c r="D64" s="196"/>
      <c r="E64" s="196"/>
      <c r="F64" s="196"/>
      <c r="G64" s="196"/>
      <c r="H64" s="196"/>
      <c r="I64" s="196"/>
      <c r="J64" s="196"/>
    </row>
  </sheetData>
  <mergeCells count="8">
    <mergeCell ref="D46:J46"/>
    <mergeCell ref="D51:J51"/>
    <mergeCell ref="D2:J2"/>
    <mergeCell ref="D12:J12"/>
    <mergeCell ref="D19:J19"/>
    <mergeCell ref="D28:J28"/>
    <mergeCell ref="D34:J34"/>
    <mergeCell ref="D42:J42"/>
  </mergeCells>
  <pageMargins left="0.7" right="0.7" top="0.75" bottom="0.75" header="0.51180555555555496" footer="0.51180555555555496"/>
  <pageSetup paperSize="9" firstPageNumber="0" orientation="portrait" horizontalDpi="300" verticalDpi="300"/>
  <headerFooter>
    <oddFooter>&amp;L_x000D_&amp;1#&amp;"Aptos"&amp;8&amp;K000000 LIMITED SHARING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42B5F843E9F394387C8E18E581045BB" ma:contentTypeVersion="18" ma:contentTypeDescription="Creare un nuovo documento." ma:contentTypeScope="" ma:versionID="93e35065422cbdd8ef311c4af0d0503e">
  <xsd:schema xmlns:xsd="http://www.w3.org/2001/XMLSchema" xmlns:xs="http://www.w3.org/2001/XMLSchema" xmlns:p="http://schemas.microsoft.com/office/2006/metadata/properties" xmlns:ns2="aefa5baf-2181-4f72-9d69-4320da3c7b62" xmlns:ns3="06788caa-2623-4627-960f-c05861762a8e" targetNamespace="http://schemas.microsoft.com/office/2006/metadata/properties" ma:root="true" ma:fieldsID="a066b26ed23793347d66e07d554abf6f" ns2:_="" ns3:_="">
    <xsd:import namespace="aefa5baf-2181-4f72-9d69-4320da3c7b62"/>
    <xsd:import namespace="06788caa-2623-4627-960f-c05861762a8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fa5baf-2181-4f72-9d69-4320da3c7b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2a7bd37-4858-40f2-8a3b-1054fea728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788caa-2623-4627-960f-c05861762a8e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b383d1f3-9a5e-4108-8e10-5e60420cec5a}" ma:internalName="TaxCatchAll" ma:showField="CatchAllData" ma:web="06788caa-2623-4627-960f-c05861762a8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6788caa-2623-4627-960f-c05861762a8e" xsi:nil="true"/>
    <lcf76f155ced4ddcb4097134ff3c332f xmlns="aefa5baf-2181-4f72-9d69-4320da3c7b6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1E15459-0991-405F-829F-0BBAD6925256}">
  <ds:schemaRefs/>
</ds:datastoreItem>
</file>

<file path=customXml/itemProps2.xml><?xml version="1.0" encoding="utf-8"?>
<ds:datastoreItem xmlns:ds="http://schemas.openxmlformats.org/officeDocument/2006/customXml" ds:itemID="{E3982C54-5174-4886-8207-1CE0E67ABD20}"/>
</file>

<file path=customXml/itemProps3.xml><?xml version="1.0" encoding="utf-8"?>
<ds:datastoreItem xmlns:ds="http://schemas.openxmlformats.org/officeDocument/2006/customXml" ds:itemID="{19FC5522-23B0-4A1E-9499-C397171F0376}"/>
</file>

<file path=customXml/itemProps4.xml><?xml version="1.0" encoding="utf-8"?>
<ds:datastoreItem xmlns:ds="http://schemas.openxmlformats.org/officeDocument/2006/customXml" ds:itemID="{834317EE-597B-4A9B-8FCA-8D2C9C80DE34}"/>
</file>

<file path=docMetadata/LabelInfo.xml><?xml version="1.0" encoding="utf-8"?>
<clbl:labelList xmlns:clbl="http://schemas.microsoft.com/office/2020/mipLabelMetadata">
  <clbl:label id="{8ec47177-7042-437d-aa6f-31fd7962b727}" enabled="1" method="Standard" siteId="{b87cc266-09c4-40cc-8dfa-c92e08bf9cb4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Output ART --&gt;</vt:lpstr>
      <vt:lpstr>Sch.1_CE Reg</vt:lpstr>
      <vt:lpstr>Sch.2_SP Reg</vt:lpstr>
      <vt:lpstr>Sch. 3_Determ. Compensazione</vt:lpstr>
      <vt:lpstr>Output AT --&gt;</vt:lpstr>
      <vt:lpstr>EBIT &amp; Costi interni AT</vt:lpstr>
      <vt:lpstr>Ipotesi --&gt;</vt:lpstr>
      <vt:lpstr>Beni  trasferiti-funzionali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DANGLADE Geoffrey</dc:creator>
  <cp:lastModifiedBy>CALAMAI Francesco</cp:lastModifiedBy>
  <dcterms:created xsi:type="dcterms:W3CDTF">2025-12-09T08:32:32Z</dcterms:created>
  <dcterms:modified xsi:type="dcterms:W3CDTF">2025-12-18T11:20:11Z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0x010100E42B5F843E9F394387C8E18E581045BB</vt:lpwstr>
  </property>
</Properties>
</file>